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5" windowWidth="11955" windowHeight="6870" tabRatio="582" activeTab="0"/>
  </bookViews>
  <sheets>
    <sheet name="2018" sheetId="1" r:id="rId1"/>
    <sheet name="Sheet1" sheetId="2" r:id="rId2"/>
  </sheets>
  <definedNames>
    <definedName name="_xlnm._FilterDatabase" localSheetId="0" hidden="1">'2018'!$A$9:$F$482</definedName>
  </definedNames>
  <calcPr fullCalcOnLoad="1"/>
</workbook>
</file>

<file path=xl/sharedStrings.xml><?xml version="1.0" encoding="utf-8"?>
<sst xmlns="http://schemas.openxmlformats.org/spreadsheetml/2006/main" count="838" uniqueCount="467">
  <si>
    <t>Nguồn vốn</t>
  </si>
  <si>
    <t>Nội dung</t>
  </si>
  <si>
    <t>HUYỆN ÂN THI</t>
  </si>
  <si>
    <t>Dự án phát triển cơ sở hạ tầng thủy lợi huyện Ân Thi, tỉnh Hưng Yên</t>
  </si>
  <si>
    <t>UBND huyện Ân Thi</t>
  </si>
  <si>
    <t>UBND thị trấn Ân Thi</t>
  </si>
  <si>
    <t>UBND xã Xuân Trúc</t>
  </si>
  <si>
    <t>UBND xã Bắc Sơn</t>
  </si>
  <si>
    <t>UBND xã Đa Lộc</t>
  </si>
  <si>
    <t>UBND xã Đặng Lễ</t>
  </si>
  <si>
    <t>CTMTQG</t>
  </si>
  <si>
    <t>UBND xã Hồ Tùng Mậu</t>
  </si>
  <si>
    <t>UBND xã Nguyễn Trãi</t>
  </si>
  <si>
    <t>UBND xã Quảng Lãng</t>
  </si>
  <si>
    <t>UBND huyện Khoái Châu</t>
  </si>
  <si>
    <t>UBND xã An Vĩ</t>
  </si>
  <si>
    <t>UBND xã Chí Tân</t>
  </si>
  <si>
    <t>UBND xã Dạ Trạch</t>
  </si>
  <si>
    <t>UBND xã Đại Tập</t>
  </si>
  <si>
    <t>UBND xã Dân Tiến</t>
  </si>
  <si>
    <t>UBND xã Đồng Tiến</t>
  </si>
  <si>
    <t>UBND xã Hồng Tiến</t>
  </si>
  <si>
    <t>UBND huyện Kim Động</t>
  </si>
  <si>
    <t>Cải tạo, nâng cấp ĐH.73, huyện Kim Động</t>
  </si>
  <si>
    <t>Nhà văn hóa huyện Kim Động</t>
  </si>
  <si>
    <t>UBND xã Hùng Cường</t>
  </si>
  <si>
    <t>UBND xã Mai Động</t>
  </si>
  <si>
    <t>UBND xã Phạm Ngũ Lão</t>
  </si>
  <si>
    <t>UBND xã Phú Thịnh</t>
  </si>
  <si>
    <t>UBND xã Vĩnh Xá</t>
  </si>
  <si>
    <t>UBND huyện Mỹ Hào</t>
  </si>
  <si>
    <t>UBND xã Cẩm Xá</t>
  </si>
  <si>
    <t>UBND xã Hưng Long</t>
  </si>
  <si>
    <t>UBND xã Phan Đình Phùng</t>
  </si>
  <si>
    <t>UBND xã Xuân Dục</t>
  </si>
  <si>
    <t>UBND huyện Phù Cừ</t>
  </si>
  <si>
    <t>UBND xã Minh  Tân</t>
  </si>
  <si>
    <t>UBND xã Minh Tiến</t>
  </si>
  <si>
    <t>UBND xã Tam Đa</t>
  </si>
  <si>
    <t>UBND xã Tiên Tiến</t>
  </si>
  <si>
    <t>UBND huyện Tiên Lữ</t>
  </si>
  <si>
    <t>Cải tạo, nâng cấp đường DH 91, huyện Tiên Lữ</t>
  </si>
  <si>
    <t>Nhà văn hóa huyện Tiên Lữ</t>
  </si>
  <si>
    <t>UBND xã An Viên</t>
  </si>
  <si>
    <t>UBND xã Đức Thắng</t>
  </si>
  <si>
    <t>UBND xã Hải Triều</t>
  </si>
  <si>
    <t>UBND xã Minh Phượng</t>
  </si>
  <si>
    <t>UBND xã Thủ Sỹ</t>
  </si>
  <si>
    <t>UBND huyện Văn Giang</t>
  </si>
  <si>
    <t>UBND xã Nghĩa Trụ</t>
  </si>
  <si>
    <t>UBND xã Tân Tiến</t>
  </si>
  <si>
    <t>UBND xã Xuân Quan</t>
  </si>
  <si>
    <t>UBND huyện Văn Lâm</t>
  </si>
  <si>
    <t>Đường trục chính cụm công nghiệp Tân Quang, huyện Văn Lâm</t>
  </si>
  <si>
    <t>UBND xã Lạc Hồng</t>
  </si>
  <si>
    <t>UBND xã Minh Hải</t>
  </si>
  <si>
    <t>UBND xã Việt Hưng</t>
  </si>
  <si>
    <t>UBND huyện Yên Mỹ</t>
  </si>
  <si>
    <t>Cầu Bình Phú trên ĐT.381, huyện Yên Mỹ</t>
  </si>
  <si>
    <t xml:space="preserve">Dự án xây dựng cơ sở hạ tầng khu nuôi trồng thủy sản huyện Yên Mỹ </t>
  </si>
  <si>
    <t>UBND xã Đồng Than</t>
  </si>
  <si>
    <t>UBND xã Ngọc Long</t>
  </si>
  <si>
    <t>UBND xã Tân Việt</t>
  </si>
  <si>
    <t>UBND xã Trung Hòa</t>
  </si>
  <si>
    <t>UBND thành phố Hưng Yên</t>
  </si>
  <si>
    <t>UBND xã Hồng Nam</t>
  </si>
  <si>
    <t>UBND xã Quảng Châu</t>
  </si>
  <si>
    <t>UBND xã Tân Hưng</t>
  </si>
  <si>
    <t>Trụ sở làm việc Ban Quản lý các khu công nghiệp tỉnh Hưng Yên</t>
  </si>
  <si>
    <t>Ban Quản lý các khu công nghiệp tỉnh Hưng Yên</t>
  </si>
  <si>
    <t>Ban quản lý khu đại học Phố Hiến</t>
  </si>
  <si>
    <t>Xây dựng bảo tàng tỉnh Hưng Yên</t>
  </si>
  <si>
    <t>Bảo tàng tỉnh Hưng Yên</t>
  </si>
  <si>
    <t>Bệnh viện Đa khoa Phố Nối</t>
  </si>
  <si>
    <t>Bệnh viện Đa Khoa tỉnh Hưng Yên</t>
  </si>
  <si>
    <t>Bệnh viện Mắt Hưng Yên</t>
  </si>
  <si>
    <t>Bộ Chỉ huy quân sự tỉnh</t>
  </si>
  <si>
    <t>Chi cục PTNT Hưng Yên</t>
  </si>
  <si>
    <t>Công ty TNHH một thành viên KTCT thủy lợi tỉnh</t>
  </si>
  <si>
    <t>Đầu tư xây dựng cải tạo, nâng cấp tuyến kênh D11 và kênh T2B thuộc huyện Văn Lâm</t>
  </si>
  <si>
    <t>Công ty TNHH một thành viên KTCT thủy lợi và thoát nước TPHY</t>
  </si>
  <si>
    <t>TB sản xuất chương trình và truyền dẫn phát sóng của ĐPT &amp; TH tỉnh HY</t>
  </si>
  <si>
    <t>Mở rông trụ sở làm việc Sở Giáo dục và Đào Tạo</t>
  </si>
  <si>
    <t>Sở Giáo dục và Đào tạo</t>
  </si>
  <si>
    <t>Sở giao thông vân tải tỉnh HY</t>
  </si>
  <si>
    <t>Sở Nội vụ</t>
  </si>
  <si>
    <t>Xây dựng Kho lưu trữ chuyên dụng tỉnh Hưng Yên</t>
  </si>
  <si>
    <t>Sở Nông nghiệp và PTNT</t>
  </si>
  <si>
    <t xml:space="preserve">Cải tạo, nâng cấp và xây dựng mới cơ sở hạ tầng Trung tâm giống cây trồng, vật nuôi tỉnh Hưng Yên </t>
  </si>
  <si>
    <t>Trung tâm tích hợp dữ liệu và đảm bảo kết nối các hệ thống công nghệ thông tin tỉnh Hưng  Yên</t>
  </si>
  <si>
    <t>Hạ tầng kỹ thuật Khu di tích Hải Thượng Lãn Ông</t>
  </si>
  <si>
    <t>Sở Văn hóa Thể thao và Du lịch</t>
  </si>
  <si>
    <t>Hỗ trợ y tế các tỉnh đồng bằng Bắc Bộ và đồng bằng sông Hồng</t>
  </si>
  <si>
    <t>Sở Y tế</t>
  </si>
  <si>
    <t>Hệ thống cấp nước tập trung liên xã Thuần Hưng - Đại Hưng</t>
  </si>
  <si>
    <t>Hệ thống cấp nước tập trung liên xã Hưng Đạo - Minh Hoàng</t>
  </si>
  <si>
    <t>Xây mới, cải tạo, sửa chữa công trình nước sạch và nhà tiêu hợp vệ sinh trường học năm 2016</t>
  </si>
  <si>
    <t>Xây mới, cải tạo, sửa chữa công trình nước sạch và nhà tiêu hợp vệ sinh trường học năm 2014</t>
  </si>
  <si>
    <t>Xây mới, cải tạo, sửa chữa công trình nước sạch và nhà tiêu hợp vệ sinh trường học năm 2015</t>
  </si>
  <si>
    <t>Trung tâm phòng chống HIV\AIDS và các bệnh nhiệt đới tỉnh Hưng Yên</t>
  </si>
  <si>
    <t>Trung tâm y tế dự phòng tỉnh Hưng Yên</t>
  </si>
  <si>
    <t>Trung tâm y tế huyện Khoái Châu</t>
  </si>
  <si>
    <t>Nhà lớp học 3 tầng, 12 phòng trường PTTH Yên Mỹ</t>
  </si>
  <si>
    <t>Trường PTTH Yên Mỹ</t>
  </si>
  <si>
    <t>Cải tạo, nâng cấp trường THPT chuyên Hưng Yên</t>
  </si>
  <si>
    <t>Trường THPT chuyên Hưng Yên</t>
  </si>
  <si>
    <t>Trường THPT Kim Động</t>
  </si>
  <si>
    <t>Trường THPT Nghĩa Dân</t>
  </si>
  <si>
    <t>Trường THPT Phạm Ngũ Lão</t>
  </si>
  <si>
    <t>Nhà lớp học lý thuyết Trường THPT Phạm Ngũ Lão, huyện Ân Thi</t>
  </si>
  <si>
    <t>Văn phòng Tỉnh ủy</t>
  </si>
  <si>
    <t>Cải tạo, sửa chữa UBND tỉnh cũ</t>
  </si>
  <si>
    <t>Sửa chữa, chỉnh trang trụ sở Tỉnh ủy</t>
  </si>
  <si>
    <t>I</t>
  </si>
  <si>
    <t>II</t>
  </si>
  <si>
    <t>HUYỆN KHOÁI CHÂU</t>
  </si>
  <si>
    <t>III</t>
  </si>
  <si>
    <t>HUYỆN KIM ĐỘNG</t>
  </si>
  <si>
    <t>IV</t>
  </si>
  <si>
    <t>HUYỆN MỸ HÀO</t>
  </si>
  <si>
    <t>V</t>
  </si>
  <si>
    <t>HUYỆN PHÙ CỪ</t>
  </si>
  <si>
    <t>VI</t>
  </si>
  <si>
    <t>HUYỆN TIÊN LỮ</t>
  </si>
  <si>
    <t>VII</t>
  </si>
  <si>
    <t>HUYỆN VĂN GIANG</t>
  </si>
  <si>
    <t>VIII</t>
  </si>
  <si>
    <t>HUYỆN VĂN LÂM</t>
  </si>
  <si>
    <t>IX</t>
  </si>
  <si>
    <t>HUYỆN YÊN MỸ</t>
  </si>
  <si>
    <t>X</t>
  </si>
  <si>
    <t>THÀNH PHỐ HƯNG YÊN</t>
  </si>
  <si>
    <t>XI</t>
  </si>
  <si>
    <t>CÁC CƠ QUAN, ĐƠN VỊ THUỘC TỈNH</t>
  </si>
  <si>
    <t>Tỷ lệ</t>
  </si>
  <si>
    <t>TPCP kéo dài</t>
  </si>
  <si>
    <t>TỔNG CỘNG</t>
  </si>
  <si>
    <t>Xử lý cấp bách lún, nứt đê tả sông Hồng</t>
  </si>
  <si>
    <t>ADB</t>
  </si>
  <si>
    <t>UBND xã Đoàn Đào</t>
  </si>
  <si>
    <t>Cải tạo nâng cấp đường GTNT xã Đoàn Đào</t>
  </si>
  <si>
    <t>UBND xã Liêu Xá</t>
  </si>
  <si>
    <t>Đơn vị: đồng.</t>
  </si>
  <si>
    <t>TT</t>
  </si>
  <si>
    <t>Vốn đã thanh toán</t>
  </si>
  <si>
    <t>Cải tạo, nâng cấp ĐH.66, huyện Ân Thi</t>
  </si>
  <si>
    <t>Cải tạo, nâng cấp ĐH.65, huyện Ân Thi</t>
  </si>
  <si>
    <t>Tập trung</t>
  </si>
  <si>
    <t>Tập trung kéo dài</t>
  </si>
  <si>
    <t>Sử dụng đất</t>
  </si>
  <si>
    <t>Sử dụng đất kéo dài</t>
  </si>
  <si>
    <t>Xổ số</t>
  </si>
  <si>
    <t>Hỗ trợ có mục tiêu CP</t>
  </si>
  <si>
    <t>Hỗ trợ có mục tiêu CP kéo dài</t>
  </si>
  <si>
    <t>Đầu tư xây dựng công trình cải tạo, nâng cấp trạm bơm Đa Lộc, huyện Ân Thi</t>
  </si>
  <si>
    <t>Cải tạo nâng cấp đường ĐH.17 kéo dài đến ĐT.379 và chỉnh trang hệ thống hạ tầng kỹ thuật khu tường niệm đồng chí Tô Hiệu và đồng chí Lê Văn Lương</t>
  </si>
  <si>
    <t>Cải tạo, nâng cấp ĐH.12B (đoạn từ Km0+000 đến Km0+610 và đoạn từ Km2+260 đến Km3+920), huyện Văn Lâm</t>
  </si>
  <si>
    <t>Cầu Khé tại Km 13+700 ĐT.384 (đường 204 cũ)</t>
  </si>
  <si>
    <t>Cải tạo, nâng cấp đường ĐT 382 (199 cũ) Km 0+00 - Km 8+07</t>
  </si>
  <si>
    <t>Cầu Tây (cầu Lạng) tại Km 5+500 ĐT 380 (196 cũ)</t>
  </si>
  <si>
    <t>Cải tạo, nâng cấp đường GTNT thôn Đặng Xuyên, xã  Đặng Lễ, huyện Ân Thi</t>
  </si>
  <si>
    <t>Cải tạo, nâng cấp đường GTNT xã Hồng Tiến, huyện Khoái Châu</t>
  </si>
  <si>
    <t>Cải tạo, NC đường GTNT xã Cẩm Xá (đường thôn Dâu)</t>
  </si>
  <si>
    <t>Cải tạo, NC đường GTNT xã Xuân Dục (đường thôn Xuân Đào tuyến 1)</t>
  </si>
  <si>
    <t>Cải tạo, nâng cấp ĐH 42 đoạn Km4+800-Km7+300, huyện Yên Mỹ</t>
  </si>
  <si>
    <t xml:space="preserve">Cải tạo, nâng cấp đường GTNT xã Dạ Trạch (đoạn 1 từ nhà ông Thăng đến nhà Châu Tỉnh, Đoạn 2 từ ĐT đến trường Trần Quang Khải) </t>
  </si>
  <si>
    <t>Cải tạo, nâng cấp đường GTNT xã Đại Tập (đoạn từ nhà ông Tỉnh đến đền thờ quan Chấn Bắc)</t>
  </si>
  <si>
    <t>Đầu tư xây dựng công trình cải tạo, nâng cấp ĐH.30, huyện Mỹ Hào</t>
  </si>
  <si>
    <t>Cải tạo, NC đường GTNT xã Hưng Long (đường thôn Tân Hưng)</t>
  </si>
  <si>
    <t>Cải tạo, NC đường GTNT xã Hưng Long (đường thôn Phú Sơn)</t>
  </si>
  <si>
    <t>Cải tạo, NC đường GTNT xã Hưng Long (đường thônVinh Quang)</t>
  </si>
  <si>
    <t>Đầu tư xây dựng công trình cải tạo, nâng cấp ĐH.64 qua địa bàn huyện Phù Cừ</t>
  </si>
  <si>
    <t>Cải tạo, nâng cấp ĐH kéo dài (đoạn từ điểm đầu ĐH.82 huyện Phù Cừ đến giao với ĐT.376 huyện Ân Thi)</t>
  </si>
  <si>
    <t>Cải tạo, nâng cấp đường giao thông nông thôn xã Minh Tân, huyện Phù Cừ</t>
  </si>
  <si>
    <t>Cải tạo, nâng cấp đường giao thông nông thôn xã Hải Triều, huyện Tiên Lữ</t>
  </si>
  <si>
    <t>Cải tạo, nâng cấp đường giao thông nông thôn xã Minh Phượng, huyện Tiên Lữ</t>
  </si>
  <si>
    <t>Đầu tư xây dựng công trình cải tạo nâng cấp ĐH.26 (Long Hưng- Liên Nghĩa), huyện Văn Giang</t>
  </si>
  <si>
    <t>Cải tạo, nâng cấp ĐH 19, huyện Văn Lâm (đoạn từ Km 5+400 đến Km7+00)</t>
  </si>
  <si>
    <t>Đầu tư xây dựng đường quy hoạch số 4 thị trấn Yên Mỹ (giai đoạn I)</t>
  </si>
  <si>
    <t>Đường trục phía Bắc khu Đại học Phố Hiến</t>
  </si>
  <si>
    <t>Xây dựng, cải tạo, nâng cấp, mở rộng Bệnh viện Mắt Hưng Yên</t>
  </si>
  <si>
    <t>Đầu tư xây dựng cải tạo, nâng cấp cống Từ Hồ tại KM12+600 trên sông Ngưu Giang và cầu qua sông Đồng Than tại K3+433, huyện yên Mỹ</t>
  </si>
  <si>
    <t>Sở Lao động - Thương binh và Xã hội</t>
  </si>
  <si>
    <t>Cải tạo sửa chữa trụ sở làm việc Sở Lao động - Thương binh và Xã hội</t>
  </si>
  <si>
    <t>Bảo tồn tôn tạo quần thể di tích Phố Hiến GĐ 2 (Hạng mục: đền thờ Lạc Long Quân)</t>
  </si>
  <si>
    <t>Trụ sở làm việc TT Công nghệ thông tin và Truyền thông</t>
  </si>
  <si>
    <t>Trung tâm kỹ thuật Tiêu chuẩn đo lường chất lượng tỉnh Hưng Yên</t>
  </si>
  <si>
    <t>Tăng cường năng lực kiểm định, thử nghiệm của TT kỹ thuật Tiêu chuẩn đo lường chất lượng tỉnh Hưng Yên</t>
  </si>
  <si>
    <t>Trung tâm nước sinh hoạt và VSMT nông thôn tỉnh Hưng Yên</t>
  </si>
  <si>
    <t>Xây dựng hạ tầng Trung tâm y tế huyện Khoái Châu</t>
  </si>
  <si>
    <t>Nhà lớp học lý thuyết và thư viện trường THPT Kim Động</t>
  </si>
  <si>
    <t>Nhà lớp học bộ môn và phục vụ học tập trường THPT Nghĩa Dân</t>
  </si>
  <si>
    <t>Nhà lớp học bộ môn và các hạng mục phụ trợ trường THPT Phạm Ngũ Lão</t>
  </si>
  <si>
    <t>Dự án cải tạo, nâng cấp đường và kè bờ khu vực sông Kẻ Sặt, huyện Ân Thi, tỉnh Hưng Yên</t>
  </si>
  <si>
    <t>CT, NC Đường 204 đoạn  Km 2+0,00 - Km 5+200 (Dốc kênh - Cầu Khé), huyện Khoái Châu</t>
  </si>
  <si>
    <t>Đầu tư XD công trình cải tạo, nâng cấpđường ĐH.56đoạn từ Km0+00 đến Km3+500 (Dốc Bái - Bến đò Đông Ninh) huyện Khoái Châu</t>
  </si>
  <si>
    <t>Dự án đầu tư xây dựng công trình cải tạo, nâng cấp ĐH.53 đoạn Km0+00 - Km2+400 huyện Khoái Châu</t>
  </si>
  <si>
    <t>Cải tạo, nâng cấp đường GTNT xã Chí Tân (đoạn 1, từ bưu điện xã đến đội 7 thôn Nghi Xuyên; đoạn 2, từ nghĩa trang liệt sỹ đến Đống giác)</t>
  </si>
  <si>
    <t>Cải tạo, nâng cấp ĐH.60, huyện Kim Đông</t>
  </si>
  <si>
    <t>Đầu tư xây dựng công trình cải tạo, nâng cấp ĐH.80 đoạn Km0+000 - Km2+620</t>
  </si>
  <si>
    <t>Cải tạo, nâng cấp đường giao thông nông thôn xã Tiên Tiến, huyện Phù Cừ</t>
  </si>
  <si>
    <t>Đầu tư xây dựng công trình cải tạo, nâng cấp ĐH.82 đoạn từ cầu Bến (6+440 - cầu Quán Thu (Km8+750))</t>
  </si>
  <si>
    <t>Đầu tư XĐ công trình cải tạo, nâng cấp ĐH 15 đoạn Km4+500 đến Km7+050, huyện Văn Lâm</t>
  </si>
  <si>
    <t>Đường nối cụm công nghiệp Tân Quang với Quốc Lộ 5 (đoạn từ đường trục chính cụm Công nghiệp Tân Quang đến công ty cổ phần cơ khí xây dựng công trình I)</t>
  </si>
  <si>
    <t>Cải tạo, nâng cấp Đường GTNT xã Minh Hải (đường thôn Thanh Đặng)</t>
  </si>
  <si>
    <t>Đường trục liên xã Hoàng Hanh - Hồng Nam - Tân Hưng, thành phố Hưng Yên</t>
  </si>
  <si>
    <t>CT, NC hạ tầng du lịch quần thể di tích Phố Hiến, TP Hưng Yên, tỉnh Hưng Yên (HM đường giao thông và kè hồ)</t>
  </si>
  <si>
    <t>Dự án phát triển toàn diện kinh tế xã hội các đô thị Việt Trì, Hưng Yên và Đồng Đăng - hợp phần dự án tại TP Hưng Yên</t>
  </si>
  <si>
    <t>Xây dựng cải tạo trạm bơm Quán Đỏ, huyện Phù Cừ và trạm bơm Lệ Xá, huyện Tiên Lữ</t>
  </si>
  <si>
    <t>Dự án đầu tư XD công trình Hưng Long, huyện Mỹ Hào</t>
  </si>
  <si>
    <t>Cải tạo, nạo vét kè mái sông Đống Lỗ Tính Linh (đoạn từ K0+34 - K1+275 và đoạn từ K1+800 - K2+479)</t>
  </si>
  <si>
    <t>XD cụm CT đầu mối TB Bảo Khê TP Hưng Yên thuộc DA ĐTXD Hệ thống thoát nước, TP Hưng Yên</t>
  </si>
  <si>
    <t>Đài Phát thanh và Truyền hình tỉnh Hưng Yên</t>
  </si>
  <si>
    <t>NC tuyến đường ĐT 386 và kè gia cố mái ta-luy đoạn thị trấn Trần Cao đến phà La Tiến (Km 16+0 - Km 25+900)</t>
  </si>
  <si>
    <t>Dự án cải tạo nâng cấp ĐT.387 (Lương Tài - Bãy Sậy)</t>
  </si>
  <si>
    <t>Cải tạo, nâng cấp trạm bơm Phan Đình Phùng, huyện Mỹ Hào</t>
  </si>
  <si>
    <t>Dự án cải tạo nạo vét hệ thống công trình sau đầu mối trạm bơm La Tiến huyện Phù Cừ, tỉnh Hưng Yên (giai đoạn 1)</t>
  </si>
  <si>
    <t>Sở Thông tin và Truyền thông</t>
  </si>
  <si>
    <t>Trung tâm Công nghệ thông tin và Truyền thông</t>
  </si>
  <si>
    <t>Mở rộng dự án xây dựng hệ thống cấp nước TT  liên xã Thuần Hưng - Đại Hưng (nối mạng cấp nước cho xã Thành Công và Nhuế Dương, huyện Khoái Châu)</t>
  </si>
  <si>
    <t>Mở rộng dự án xây dựng hệ thống cấp nước TT  liên xã Hưng Đạo - Minh Hoàng (nối mạng cấp nước cho xã Ngô Quyền, huyện Tiên Lữ)</t>
  </si>
  <si>
    <t>Mở rộng dự án xây dựng hệ thống cấp nước TT xã Trưng Trắc (nối mạng cấp nước cho xã Tân Quang và Đình Dù, huyện Văn Lâm)</t>
  </si>
  <si>
    <t>Mở rộng dự án xây dựng hệ thống cấp nước TT xã Nhân Hòa (nối mạng cấp nước cho xã Cẩm Xá, huyện Mỹ Hào)</t>
  </si>
  <si>
    <t>Mở rộng dự án xây dựng hệ thống cấp nước TT xã Phù Ủng (nối mạng cấp nước cho xã Bãi Sậy, huyện Ân Thi)</t>
  </si>
  <si>
    <t>Mở rộng dự án xây dựng hệ thống cấp nước TT xã Minh Tân (nối mạng cấp nước cho xã Phan Sào Nam, huyện  Phù Cừ)</t>
  </si>
  <si>
    <t>Đường 202 đoạn Km1+400 - Km7+050 (Đa Lộc - Trần Cao)</t>
  </si>
  <si>
    <t>Dự đầu tư xây dựng, nâng cấp tuyến đường ĐT.386 và kè gia cố mái ta-luy đoạn từ thị trấn Trần Cao đến phà La Tiến (Km16+0 - Km25+900)</t>
  </si>
  <si>
    <t>Nhà khoa Kiểm soát nhiễm khuẩn, phòng Vật tư Thiết bị y tế bệnh viện Đa Khoa tỉnh Hưng Yên</t>
  </si>
  <si>
    <t>Nâng cấp, mở rộng bệnh viện Đa khoa Phố Nối (giai đoạn 2)</t>
  </si>
  <si>
    <t>Giao thông nông thôn 6 xã: Thắng Lợi, Đại Tập, Phú Thịnh, Quảng Châu, Thụy Lôi, Nguyên Hòa</t>
  </si>
  <si>
    <t>Hệ thống cấp nước tập trung xã Long Hưng, Văn Giang</t>
  </si>
  <si>
    <t>Hệ thống cấp nước tập trung xã Minh Tân, Phù Cừ</t>
  </si>
  <si>
    <t>Hệ thống cấp nước tập trung xã Nhân Hòa, Mỹ Hào</t>
  </si>
  <si>
    <t>Hệ thống cấp nước tập trung xã Phú Thịnh, Kim Động</t>
  </si>
  <si>
    <t>Hệ thống cấp nước tập trung liên xã Trung Hưng,</t>
  </si>
  <si>
    <t>Hệ thống cấp nước tập trung xã Trưng Trắc, Văn Lâm</t>
  </si>
  <si>
    <t>Mở rộng dự án xây dựng hệ thống cấp nước TT  xã Trung Hưng (nối mạng cấp nước cho xã Thanh Long, huyện Yên Mỹ)</t>
  </si>
  <si>
    <t>Mở rộng dự án xây dựng hệ thống cấp nước TT  xã Long Hưng (nối mạng cấp nước cho xã Tân Tiến, Cửu Cao huyện Văn Giang)</t>
  </si>
  <si>
    <t>Mở rộng dự án xây dựng hệ thống cấp nước TT xã Phú Thịnh, huyện Kim Động(nối mạng cấp nước cho xã Thọ Vinh)</t>
  </si>
  <si>
    <t>TPCP</t>
  </si>
  <si>
    <t>UBND xã Đình Cao</t>
  </si>
  <si>
    <t>UBND xã Tân Quang</t>
  </si>
  <si>
    <t>Hệ thống cấp nước tập trung xã Phù Ủng Ân Thi</t>
  </si>
  <si>
    <t>Dự án đầu tư xây dựng, nâng cấp đê tả sông luộc</t>
  </si>
  <si>
    <t>Công trình TB không ống cột nước thấpCống Bún  Ân Thi</t>
  </si>
  <si>
    <t>Công trình TB không ống cột nước thấp Đầm Sen Ân Thi</t>
  </si>
  <si>
    <t>Công trình TB không ống cột nước thấp Bích Tràng  Ân Thi</t>
  </si>
  <si>
    <t>Công trình TB không ống cột nước thấp Cửa Gàn TP HY</t>
  </si>
  <si>
    <t>Công trình TB không ống cột nước thấp Võng Phan Ân Thi</t>
  </si>
  <si>
    <t>Dự án cấp bách kè mái sông Từ Hồ Sài Thị</t>
  </si>
  <si>
    <t>Xử lý cấp bách các cung sạt lở tuyến kè Phú Hùng Cường</t>
  </si>
  <si>
    <t>Xử lý cấp bách các cung sạt lở tuyến kè Lam Sơn TPHY</t>
  </si>
  <si>
    <t xml:space="preserve">Xử lý cấp bách các cung sạt lở tuyến kè Nguyên Hòa </t>
  </si>
  <si>
    <t>Xử lý cấp bách kè bờ tả sông Hồng thôn Phú Mỹ xã Đức Hơp</t>
  </si>
  <si>
    <t>Dự án khu nuôi trồng thủy sản huyện Ân thi</t>
  </si>
  <si>
    <t>Cải tạo, nâng cấp ĐH.64, huyện Ân Thi</t>
  </si>
  <si>
    <t>Trường THCS Phạm Huy Thông huyện Ân Thi (GDD)</t>
  </si>
  <si>
    <t xml:space="preserve">Trường tiểu học thị trấn Ân Thi, huyện Ân Thi </t>
  </si>
  <si>
    <t>UBND xã Quang Vinh</t>
  </si>
  <si>
    <t>Trường mần non trung tâm xã Quang Vinh huyện Ân Thi</t>
  </si>
  <si>
    <t>Cải tạo, nâng cấp đường GTNT thôn Ngọc Châu xã Quang Vinh</t>
  </si>
  <si>
    <t>Trường mầm non trung tâm xã  Xuân Trúc, huyện Ân Thi</t>
  </si>
  <si>
    <t>Trường mầm non trung tâm xã  Quảng Lãng , huyện Ân Thi</t>
  </si>
  <si>
    <t>Trường mần non Hồ Tùng Mậu  huyện Ân Thi</t>
  </si>
  <si>
    <t>Trường mần non trung tâm xã Bắc Sơn, huyện Ân Thi</t>
  </si>
  <si>
    <t>Cải tạo, nâng cấp đường GTNT thôn Đa Lộc (T2),xã Đa Lộc</t>
  </si>
  <si>
    <t>UBND xã Cẩm Ninh</t>
  </si>
  <si>
    <t>Cải tạo, nâng cấp đường GTNT thôn Bình Xá, xã Cẩm Ninh</t>
  </si>
  <si>
    <t>UBND xã Hạ Lễ</t>
  </si>
  <si>
    <t>UBND xã Hoàng Hao Thám</t>
  </si>
  <si>
    <t>Cải tạo, nâng cấp đường GTNT thôn Nhân Vũ , xã Nguyễn Trãi, huyện Ân Thi</t>
  </si>
  <si>
    <t>Cải tạo, nâng cấp đường GTNT đường trục xã,xã Hoàng Hoa Thám, huyện Ân Thi</t>
  </si>
  <si>
    <t>UBND xã Đào Dương</t>
  </si>
  <si>
    <t>Cải tạo, nâng cấp đường GTNT thôn 2, xã Hạ Lễ, huyện Ân Thi</t>
  </si>
  <si>
    <t>Cải tạo, nâng cấp đường GTNT thôn Đào Xá, xã Đào Dương, huyện Ân Thi</t>
  </si>
  <si>
    <t>Cải tạo, nâng cấp đường GTNT xã Xuân Trúc, huyện Ân Thi</t>
  </si>
  <si>
    <t>Cải tạo, nâng cấp đường ĐH.58, huyện Khoái Châu</t>
  </si>
  <si>
    <t>Dự án xây dựng công trình cải tạo, nâng cấp ĐT.383, huyện Khoái Châu đoạn K0+00 (QL.39) - Km 4+500 (giao với ĐH.75)</t>
  </si>
  <si>
    <t>Cải tạo, nâng cấp ĐH.59B, huyện Khoái Châu</t>
  </si>
  <si>
    <t>Trường mầm non xã Chí Tân, huyện Khoái Châu</t>
  </si>
  <si>
    <t>Trường mầm non xã Tân Châu, huyện Khoái Châu</t>
  </si>
  <si>
    <t>Trường mầm non xã Hàm Tử, huyện Khoái Châu</t>
  </si>
  <si>
    <t>Cải tạo, nâng cấp đường giao thông nông thôn xã Dân Tiến ( đoạn từ nhà ông Tính Ngà đến nhà ông Cứ)</t>
  </si>
  <si>
    <t>Cải tạo, nâng cấp đường GTNT xã Đồng Tiến (Đoạn 1, từ nghĩa trang con gà đến nghĩa trang thôn Thổ Khối; đoạn 2, từ đầu cây đa Đông Đống đến ông Hải gù; đoạn 3, từ nhà luyện tập đến QL.39; đoạn 4 từ thôn An lạc đến cầu Đỗi Ngang)</t>
  </si>
  <si>
    <t>UBND xã Đông Tảo</t>
  </si>
  <si>
    <t>Cải tạo, nâng cấp đường GTNT xã Đông Tảo, huyện Khoái Châu</t>
  </si>
  <si>
    <t>UBND xã Liên Khê</t>
  </si>
  <si>
    <t>UBND xã Việt Hòa</t>
  </si>
  <si>
    <t>Cải tạo nâng cấp GTNT xã Việt Hòa (đoạn từ ngã ba Kiến Thiết thôn Lôi Cầu đến giáp ĐT.384))</t>
  </si>
  <si>
    <t>Đầu tư xây dựng công trình cải tạo. Nâng cấp ĐT.72, ĐH.74 huyện Kim Động</t>
  </si>
  <si>
    <t>Cải tạo, nâng cấp ĐH.53, huyện Kim Động</t>
  </si>
  <si>
    <t>Trường mầm non xã Vĩnh Xá, huyện Kim Động</t>
  </si>
  <si>
    <t>UBND xã Đức Hợp</t>
  </si>
  <si>
    <t>Trường mầm non xã Đức Hợp, huyện Kim Động</t>
  </si>
  <si>
    <t>Cải tạo, nâng cấp đường GTNT xã Đức Hợp ( tuyến 1 từ đầu đường BT đến cống ông Khiêm thôn Phú Mỹ; tuyến 2, từ đường BT thôn Thái Hòa đến cửa nhà ông Chiến thôn Trung Khu)</t>
  </si>
  <si>
    <t>Cải tạo, nâng cấp đường GTNT xã Mai Động</t>
  </si>
  <si>
    <t>Cải tạo, nâng cấp đường GTNT xã Phạm Ngũ Lão, huyệ Kim Động (từ bờ sông Điện Biên cạnh nhà ông Tiếp đến nhà ông Phong thôn Cốc Khê)</t>
  </si>
  <si>
    <t>Cải tạo, nâng cấp đường GTNT xã Phú Thịnh (đoạn từ đường ĐH.71 đến ngã tư máng Vân Chỉ)</t>
  </si>
  <si>
    <t>UBND xã Thọ Vinh</t>
  </si>
  <si>
    <t>Cải tạo, nâng cấp đường GTNT xã Thọ Vinh (tuyến 1, từ nhà ông Di đến đền Miếu; tuyến 2, từ cống 67 đến Bãi rác; tuyến 3, từ đường 53 đến đường Tây Tiến)</t>
  </si>
  <si>
    <t>Cải tạo, nâng cấp đường GTNT xã Thọ Vinh (tuyến 1, từ cống ông Sự đến đất ông Đãng; tuyến 2, từ quán Ao cá đến điện Mét; tuyến 3, từ Tây Tiến đến đường liên xã)</t>
  </si>
  <si>
    <t>UBND xã Song Mai</t>
  </si>
  <si>
    <t>Cải tạo, nâng cấp đường GTNT xã Song Mai( tuyến 1, từ nhà ông Tánh đến cổng nhà ông Huấn thôn Phán Thủy; tuyến 2, từ nhà ông Lấn đến cống Sắt thôn Phán Thủy; tuyến 3, từ nhà ông Hường đến gốc cây đa thôn Phán Thủy; tuyến 4, từ nhà ông Bẩy đến máng N4 thôn Hoàng Độc; tuyến 5, từ nhà ông Hưng đế giáp đồng Đức Hợp)</t>
  </si>
  <si>
    <t>Cải tạo, nâng cấp đường liên xã Ngọc Lâm, huyện Mỹ Hào</t>
  </si>
  <si>
    <t>Đầu tư xây dựng công trình cải tạo, nâng cấp ĐH.31 và đoạn đầu tuyến ĐH.30, huyện Mỹ Hào</t>
  </si>
  <si>
    <t>Nhà lớp học 8 phòng và các hạng mục phù trợ trường THCS xã Hòa Phong</t>
  </si>
  <si>
    <t>Cải tạo, NC đường GTNT xã Cẩm Xá (đường thôn Bùi)</t>
  </si>
  <si>
    <t>Cải tạo, NC đường GTNT xã Phan Đình Phùng (Đường thôn Nghĩa Trang)</t>
  </si>
  <si>
    <t>Cải tạo, NC đường GTNT xã Phan Đình Phùng (Đường thôn Hoàng Lê)</t>
  </si>
  <si>
    <t>UBND xã Dương Quang</t>
  </si>
  <si>
    <t>Cải tạo, NC đường GTNT xã Dương Quang (đường thôn Dương Xá)</t>
  </si>
  <si>
    <t>Cải tạo, nâng cấp đường ĐH.87 huyện Phù Cừ đoạn từ QL.38B (KM0+000)- ĐT.386 (KM4+100)</t>
  </si>
  <si>
    <t>Xây dựng cầu cáp trên ĐH.82, huyện Phù Cừ</t>
  </si>
  <si>
    <t>Đầu tư XD công trình cầu Ba Đông trên đường ĐH.81, huyện Phù Cừ</t>
  </si>
  <si>
    <t>Trường THCS xã Nguyên Hòa, huyện Phù Cừ</t>
  </si>
  <si>
    <t>Trường THCS xã Quang Hưng, huyện Phù Cừ</t>
  </si>
  <si>
    <t>Huyện ủy huyện Phù Cừ</t>
  </si>
  <si>
    <t>Cải tạo, sửa chữa trụ sở làm việc huyện ủy huyện Phù Cừ</t>
  </si>
  <si>
    <t>Đường GTNT xã Tam Đa</t>
  </si>
  <si>
    <t>Cải tạo nâng cấp đường GTNT xã Đình Cao</t>
  </si>
  <si>
    <t>Trường mần non xã Tiên Tiến huyện Phù Cừ</t>
  </si>
  <si>
    <t>Đầu tư xây dựng công trình cải tạo, nâng cấp ĐH.92đoạn từ Km0+385 đến Km5+100, huyện Tiên Lữ</t>
  </si>
  <si>
    <t>Cải tạo, nâng cấp đường ĐH.99( đoạn từ UBND xã Cương Chính đến giao với ĐT.378</t>
  </si>
  <si>
    <t>Trường mần non khu trung tâm xã Nhật Tân,huyện Tiên Lữ</t>
  </si>
  <si>
    <t>Trường mần non khu trung tâm xã Trung Dũng ,huyện Tiên Lữ</t>
  </si>
  <si>
    <t>Trường mần non khu trung tâm xã Ngô Quyền ,huyện Tiên Lữ</t>
  </si>
  <si>
    <t>Cải tạo, nâng cấp đường giao thông nông thôn xã An Viên, huyện Tiên Lữ (đoạn 1,từ đình Căn đến Quán Võ; đoạn 2, từ An Xá đến thôn Nội Lễ)</t>
  </si>
  <si>
    <t>Cải tạo, nâng cấp đường giao thông nông thôn,thôn An Lạc, xã Đức Thắng, huyện Tiên Lữ</t>
  </si>
  <si>
    <t>Cải tạo, nâng cấp đường GTNT Đại Thần thôn Nội Lăng,xã Thủ sỹ, huyện Tiên Lữ</t>
  </si>
  <si>
    <t>Đầu tư xây dựng công trình cải tạo, nâng cấp ĐH.24, huyện Văn Giang ( đoạn từ Km 0+00 đến Km2+800&amp; đoạn từ K4+900 đến K7+100)</t>
  </si>
  <si>
    <t>Cải tạo, nâng cấp đường GTNT xã Nghĩa Trụ ( đoạn từ thôn Lê Cao đến thôn Đại Tài )</t>
  </si>
  <si>
    <t xml:space="preserve">UBND xã Vĩnh Khúc </t>
  </si>
  <si>
    <t>UBND xã Cửu Cao</t>
  </si>
  <si>
    <t xml:space="preserve">UBND xã Thắng Lợi </t>
  </si>
  <si>
    <t>Cải tạo, nâng cấp đường GTNT xã Vĩnh Khúc (đoạn từ xã Trưng Trắc đến đầu làng Thuần Đông và đoạn từ quán Đá Vĩnh Bảo đến khu công nghiệp Vĩnh Khúc)</t>
  </si>
  <si>
    <t>Cải tạo, nâng cấp đường GTNT xã Cửu Cao (đoạn từ thôn Nguyễn đến thôn Hạ)</t>
  </si>
  <si>
    <t>Cải tạo, nâng cấp đường GTNT xã Tân Tiến (đoạn từ cống Chuôm Ich đến thôn Đa Ngưu)</t>
  </si>
  <si>
    <t>Cải tạo, nâng cấp đường GTNT xã Xuân Quan (đoạn từ 179 đến cống vực đầm Bướu)</t>
  </si>
  <si>
    <t>Cải tạo, nâng cấp đường GTNT xã Thắng Lợi (đoạn từ ngã ba đi thôn Tầm Tang đến nhà ông Trưởng &amp; đoạn thôn Tâm Tang đi xóm Ngư Nghiệp)</t>
  </si>
  <si>
    <t>Cải tạo, nâng cấp đường GTNT xã Nghĩa Trụ ( đoạn từ thôn Đồng Tỉnh đến thôn 13 &amp; đoạn từ thôn Lê Cao đến trục xã)</t>
  </si>
  <si>
    <t>Cải tạo, nâng cấp đường GTNT xã Tân Tiến (điểm đầu từ chợ Châu đến cụm công nghiệp Tân Tiến)</t>
  </si>
  <si>
    <t>Cải tạo, nâng cấp đường GTNT xã Xuân Quan (đoạn từ 179 đi thôn 12)</t>
  </si>
  <si>
    <t>Cải tạo, nâng cấp đường GTNT xã Thắng Lợi (đoạn từ ngã ba cây xăng đến nhà ông Trọng và đoạn từ đường Hiệu đến đường Bê Tông đi đê sông Hồng)</t>
  </si>
  <si>
    <t>Trường mần non xã Vĩnh Khúc, huyện Văn Giang</t>
  </si>
  <si>
    <t>Đầu tư XĐ công trình cải tạo, nâng cấp ĐH 15 (đoạn từ Km4+216 đến Km9+260 theo lý trình mới</t>
  </si>
  <si>
    <t>Đầu tư XĐ công trình đường nối khu di tích quốc gia chùa Nôm - Hưng Yên với cụm di tích quốc gia Kinh Dương Vương - Bắc Ninh ( trên địa phận tỉnh Hưng Yên)</t>
  </si>
  <si>
    <t>Đầu tư XĐ công trình đường nối khu A,B Cụm công nghiệp Tân quang với quốc lộ 5, huyện Văn Lâm</t>
  </si>
  <si>
    <t>Đường nối cụm công nghiệp Tân Quang ,huyện Văn Lâm ( đoạn từ Công ty EVERPIA TSC đến công ty Hữu Nghị</t>
  </si>
  <si>
    <t>UBND Xã Chỉ Đạo</t>
  </si>
  <si>
    <t>Trường lớp học 6 phòng trường tiểu học xã Chỉ Đạo, huyện Văn Lâm</t>
  </si>
  <si>
    <t>Trường mần non xã Việt Hưng huyện Văn Lâm</t>
  </si>
  <si>
    <t>Trường mần non xã Tân Quang, huyện Văn Lâm</t>
  </si>
  <si>
    <t>Trường mần non xã Chỉ Đạo, huyện Văn Lâm</t>
  </si>
  <si>
    <t>Cải tạo, nâng cấp đường GTNT xã Chỉ Đạo(đường thôn Trịnh Xá)</t>
  </si>
  <si>
    <t>Cải tạo, nâng cấp đường GTNT xã Chỉ Đạo(đường thôn Cát Lư)</t>
  </si>
  <si>
    <t>Cải tạo, nâng cấp đường GTNT xã Lạc Hồng (đường thôn Minh Hải)</t>
  </si>
  <si>
    <t>Cải tạo, nâng cấp đường GTNT xã Lạc Hồng (đoạn từ Nhạc Miếu đến đường huyện&amp; đoạn từ trục xã đến thôn Bình Minh)</t>
  </si>
  <si>
    <t xml:space="preserve">Cải tạo, nâng cấp đường GTNT xã Lạc Hồng (đường thôn Nhạc Miếu </t>
  </si>
  <si>
    <t xml:space="preserve">Đầu tư xây dựng đường quy hoạch số 1, huyện  Yên Mỹ </t>
  </si>
  <si>
    <t>Đầu tư xây dựng công trình đường quy hoạch số 4 thị trấn Yên Mỹ, huyện Yên Mỹ (giai đoạn 2)</t>
  </si>
  <si>
    <t>Trường trung học cơ sở xã Tân Việt, huyện Yên Mỹ</t>
  </si>
  <si>
    <t>UBND Yên Hòa</t>
  </si>
  <si>
    <t>Trường mần non xã Tân Việt, huyện Yên Mỹ</t>
  </si>
  <si>
    <t>Trường tiểu học Tân Việt, huyện Yên Mỹ</t>
  </si>
  <si>
    <t>Trường mần non xã Yên Hòa, huyện Yên Mỹ</t>
  </si>
  <si>
    <t>Trường mần non xã Đồng Than, huyện Yên Mỹ</t>
  </si>
  <si>
    <t>UBND xã Minh Châu</t>
  </si>
  <si>
    <t>Trường mầm non xã Minh Châu, huyện Yên Mỹ (nhà lớp học)</t>
  </si>
  <si>
    <t>Trường mần non xã Trung Hòa, huyện Yên Mỹ</t>
  </si>
  <si>
    <t>Cải tạo, nâng cấp đường GTNT xã Liêu Xá</t>
  </si>
  <si>
    <t>Cải tạo, nâng cấp đường GTNT thôn Liêu Xá &amp; thôn Liêu Trung, xã Liêu Xá</t>
  </si>
  <si>
    <t>Cải tạo, nâng cấp đường GTNT thôn Liêu thượng   xã Liêu Xá</t>
  </si>
  <si>
    <t>Cải tạo, nâng cấp đường GTNT xã Minh Châu  (đoạn qua thôn Quảng Uyên)</t>
  </si>
  <si>
    <t>Cải tạo, nâng cấp đường GTNT xã Ngọc Long</t>
  </si>
  <si>
    <t xml:space="preserve"> Đầu tư xây dựng đường trục xã Hùng Cường (đoạn từ nhà ông Hoàng thôn Phượng Hoàng đến nhà bà Thắm,thôn Cao Xá)  </t>
  </si>
  <si>
    <t>Cải tạo, nâng cấp tuyến đường trục trung tâm phường Lam Sơn, thành phố Hưng Yên</t>
  </si>
  <si>
    <t xml:space="preserve"> Đầu tư xây dựng công trình cải tạo, nâng cấp đường trục xã Quảng Châu (đoạn từ đường Dương Hữu Miếu đến khu di tích đền Trấn Mã Châu)</t>
  </si>
  <si>
    <t>Trường mần non xã Bảo Khê, thành phố Hưng Yên</t>
  </si>
  <si>
    <t>Trường mần non xã Phú Hùng Cường , thành phố Hưng Yên</t>
  </si>
  <si>
    <t>Trường mần non xã Quảng Châu, thành phố Hưng Yên</t>
  </si>
  <si>
    <t xml:space="preserve">Hỗ trợ có mục tiêu CP </t>
  </si>
  <si>
    <t xml:space="preserve">UBND xã Hoàng Hanh </t>
  </si>
  <si>
    <t>UBND xã Phú Hùng Cường</t>
  </si>
  <si>
    <t>Cải tại, năng cấp đường GTNT xã Hồng Nam ( đoạn 1, từ Tuấn Thúy đến ông Quỹ; đoạn 2, từ ĐH.72 đến ông Nhuận; đoạn 3, từ ĐH 72.đến ruộng ông Cảnh đội 3)</t>
  </si>
  <si>
    <t>Cải tại, năng cấp đường GTNT xã Hoàng Hanh ( đoạn từ bến đò Vũ Điệu đi ngã tư ông Dục)</t>
  </si>
  <si>
    <t>Cải tại, năng cấp đường GTNT xã Phú Cường ( đoạn từ Đập Gò đi xã Ngọc Thanh)</t>
  </si>
  <si>
    <t>Cải tại, năng cấp đường GTNT xã Hùng Cường (đoạn từ ông Đủ thôn Đông Hạ đi nhánh sông Hồng)</t>
  </si>
  <si>
    <t>Cải tại, năng cấp đường GTNT xã Quảng Châu (đoạn từ ngã tư thôn 1 đến Nam Tiến)</t>
  </si>
  <si>
    <t>Cải tại, năng cấp đường GTNT xã  Tân Hưng đoạn từ Dốc đình Trung đến đình Cả)</t>
  </si>
  <si>
    <t xml:space="preserve">Sử dụng đất </t>
  </si>
  <si>
    <t>Đường dây và trạm biến áp 1250 KVA- 22/0,4 KV bệnh viện đa khoa Phố Nối</t>
  </si>
  <si>
    <t>Trụ sở làm việc trung tâm phát y tỉnh Hưng Yên ( giai đoạn 1)</t>
  </si>
  <si>
    <t>Tập Trung</t>
  </si>
  <si>
    <t xml:space="preserve">Bệnh viện y học cổ truyền tỉnh </t>
  </si>
  <si>
    <t>Dự án nâng cấp, mở rộng và mua săm trang thiết bị y tế bệnh viện y học cổ truyền tỉnh Hưng Yên</t>
  </si>
  <si>
    <t>Xây mới , CT, SC Trạm y tế các xã Minh Hải,Tân Quang- huyện Văn Lâm; Đồng Tiến, Đại Tập- huyện Khoái Châu; Hồng Quang, Quang Vinh - huyện Ân Thi; Đức Thắng, Lệ Xá- huyện Tiên Lữ; Vĩnh xá - huyện Kim Động; Liêu xá - huyện Yên Mỹ</t>
  </si>
  <si>
    <t>Xây mới , CT, SC Trạm y tế  năm 2016; Bảo trì, bảo dưỡng các công trình đã hoàn thành xây dựng ( KH số 181/KH-UBND tỉnh ngày 11/8/2016 )</t>
  </si>
  <si>
    <t>Dưự án nước sạch nhà tiêu hợp vệ sinh trung tâm y tế xã năm 2014 sáu xã</t>
  </si>
  <si>
    <t>Trung tâm y tế huyện Văn Giang</t>
  </si>
  <si>
    <t>Cải tạo, nâng cấp trung tâm y tế Văn Giang</t>
  </si>
  <si>
    <t>Dự phòng ngân sách kéo dài</t>
  </si>
  <si>
    <t>Khác kéo dài</t>
  </si>
  <si>
    <t>Cải tạo, nâng cấp trạm bơm Quang Vinh huyện MỸ Hào</t>
  </si>
  <si>
    <t>Đầu tư XD trạm bơm Cảnh Lâm huyện Yên Mỹ</t>
  </si>
  <si>
    <t>Ứng dụng công nghệ thông tin trong hoạt động của các cơ quan Đảng tỉnh Hưng Yên giai đoạn 2016-2020</t>
  </si>
  <si>
    <t>Trung tâm giáo dục quốc phòng và an ninh gắn niền với trường quân sự</t>
  </si>
  <si>
    <t>Đầu tư XD công trình xây mới, cải tạo, sửa chữa nước sạch năm 2017</t>
  </si>
  <si>
    <t>Đầu tư  xây dựng công trình cầu Hồng Tiến tại km8+ 920 trên ĐT.384( đường 204 cũ)</t>
  </si>
  <si>
    <t>Đầu tư  xây dựng công trình ,nâng cấp mở rộng đường gom ( bên phải) đường cao tốc HN - HP với đường cao tốc Cầu Giẽ - Ninh Bình đến giao với ĐT. 376</t>
  </si>
  <si>
    <t>Bội chi kéo dài</t>
  </si>
  <si>
    <t>Trung tâm Giáo dục thường xuyên tỉnh Hưng Yên</t>
  </si>
  <si>
    <t>Cải tạo, sửa chữa, tôn tạo công trình Nhà Thành, thành phố Hưng Yên</t>
  </si>
  <si>
    <t>Sở Tài nguyên và Môi trường</t>
  </si>
  <si>
    <t>Công trình vệ sinh xã Tống Phan huyện Phù Cừ</t>
  </si>
  <si>
    <t>Xử lý chất thải bệnh viện tại TT y tế huyện Khoái Châu</t>
  </si>
  <si>
    <t xml:space="preserve">Trường THPT Trần Hưng Đạo </t>
  </si>
  <si>
    <t>Nhà lớp học bộ môn và phục vụ học tập trường THPT Trần Hưng Đạo</t>
  </si>
  <si>
    <t>UBND xã Ngọc Thanh</t>
  </si>
  <si>
    <t>UBND xã Đồng Thanh</t>
  </si>
  <si>
    <t>Trường mần non xã Ngọc Thanh</t>
  </si>
  <si>
    <t xml:space="preserve">Trường mần non xã Đồng Thanh </t>
  </si>
  <si>
    <t>Dự án cải tạo nạo, nâng cấp và xây dựng mới cơ sở hạ tầng Trung tâm giống cây trồng, vật nuôi tỉnh Hưng Yên</t>
  </si>
  <si>
    <t>Chương trình nước sạch &amp; vệ sinh môi trường tỉnh Hưng Yên (chưa phân khai)</t>
  </si>
  <si>
    <t>UBND xã Đình Dù</t>
  </si>
  <si>
    <t>Cải tạo, nâng cấp đường GTNT xã Đình Dù</t>
  </si>
  <si>
    <t>Cải tạo, nâng cấp đường giao thông nông thôn xã An Vĩ( đường từ bốt điện đến ông Đào Khuê)</t>
  </si>
  <si>
    <t>Đường GTNT xã Minh Tiến</t>
  </si>
  <si>
    <t>Cải tạo, nâng cấp Đường GTNT xã Minh Hải (đường thôn Thanh Đặng đến thôn Hoàng Nha)</t>
  </si>
  <si>
    <t>Cải tạo, XD nhà hợp khối nhà khách tỉnh ủy</t>
  </si>
  <si>
    <t>Nguồn WB kéo dài</t>
  </si>
  <si>
    <t xml:space="preserve">Nguồn WB </t>
  </si>
  <si>
    <t>Cải tạo nâng cấp trạm bơm Hồng Vân Huyện Ân Thi</t>
  </si>
  <si>
    <t>Đầu tư xây dựng đoạn tuyến nối ĐT.379 với QL.39 và đường ô tô cao tốc Hà Nội - Hải Phòng, huyện Khoái Châu</t>
  </si>
  <si>
    <t>Tập trung TƯkéo dài</t>
  </si>
  <si>
    <t>Xử lý cấp bách các cung sạt lở tuyến kè Phú Hùng Cường khu vực thượng lưu</t>
  </si>
  <si>
    <t>Kế hoạch vốn đầu tư năm 2018</t>
  </si>
  <si>
    <t>Cải tạo, sửa chữa trường THCS Việt Hưng 2 tầng 6 phòng</t>
  </si>
  <si>
    <t>UBND xã Trung Nghĩa</t>
  </si>
  <si>
    <t>Cải tạo, NC GTNT Đặng Cầu xã Trung Nghĩa</t>
  </si>
  <si>
    <t>Nguồn TPCP kéo dài</t>
  </si>
  <si>
    <t>Dưự án trung tâm giáo dục lao động xã hội tỉnh Hưng Yên</t>
  </si>
  <si>
    <t>Xử lý cấp bách khu vực  sạt lở do mưa lũ gây ra tại xã Thắng Lợi, huyện Văn Giang</t>
  </si>
  <si>
    <t>Dưự án di dân tái định cư vùng nguy cơ sạt lở xã Văn Nhuệ huyện Ân Thi</t>
  </si>
  <si>
    <t>Dưự án di dân tái định cư vùng nguy cơ sạt lở xã Tân Hưng huyện Tiên Lữ</t>
  </si>
  <si>
    <t>Dưự án di dân tái định cư vùng nguy cơ sạt lở bãi Phú Hùng Cương huyện Kim Động</t>
  </si>
  <si>
    <t>CÔNG KHAI TÌNH HÌNH GIẢI NGÂN</t>
  </si>
  <si>
    <t xml:space="preserve">UBND xã Phùng Chí Kiên </t>
  </si>
  <si>
    <t>Xây dựng nhà mẫu giáo mần non Phùng Chí Kiên</t>
  </si>
  <si>
    <t xml:space="preserve">Nhà cầu&amp;nhà hiệu bộ trường mần non Phùng Chí Kiên </t>
  </si>
  <si>
    <t xml:space="preserve">Liên đoàn lao động tỉnh </t>
  </si>
  <si>
    <t xml:space="preserve">Khác </t>
  </si>
  <si>
    <t>Trụ sở công đoàn KCN tỉnh gắn với TTTV pháp luật và HTTC văn hóa thể thao cho CNVCLĐ</t>
  </si>
  <si>
    <t>Hệ thống cấp nước tập trung xã Phụng Công</t>
  </si>
  <si>
    <t>Khu dân cư NU- 10 khu đại học Phố Hiến</t>
  </si>
  <si>
    <t>Hoàn thiện đường trục phí bắc khu đại học Phố Hiến</t>
  </si>
  <si>
    <t>Xây mới, cải tạo, sửa chữa công trình nước sạch và nhà tiêu hợp vệ sinh trường học năm 2013</t>
  </si>
  <si>
    <t>Đầu tư XD  mới ,cải tạo, sửa chữa công trình xây mới, cải tạo, sửa chữa nước sạch năm 2018</t>
  </si>
  <si>
    <t>Xây mới cải tạo, sửa chữa công trình cấp nước và vệ sinh trạm y tế xã Chính Nghĩa, huyện Kim Động</t>
  </si>
  <si>
    <t>Cải tạo, nâng cấp trụ sở làm việc sở tài nguyên và môi trường</t>
  </si>
  <si>
    <t>KHO BẠC NHÀ NƯỚC</t>
  </si>
  <si>
    <t>Cải tạo, nâng cấp đường GTNT xã Liên Khê (đoạn từ nhà ông Thường thôn Cẩm Khê đến nhà ông Tuyến thôn Cẩm Bối), huyện Khoái Châu</t>
  </si>
  <si>
    <r>
      <t>KHO B</t>
    </r>
    <r>
      <rPr>
        <b/>
        <u val="single"/>
        <sz val="13"/>
        <rFont val="Times New Roman"/>
        <family val="1"/>
      </rPr>
      <t>ẠC NHÀ NƯỚC H</t>
    </r>
    <r>
      <rPr>
        <b/>
        <sz val="13"/>
        <rFont val="Times New Roman"/>
        <family val="1"/>
      </rPr>
      <t>ƯNG YÊN</t>
    </r>
  </si>
  <si>
    <t xml:space="preserve">          Phạm Thị Phương                          Đỗ Thị Thủy</t>
  </si>
  <si>
    <t xml:space="preserve">    Nguyễn Thị Thanh Hương</t>
  </si>
  <si>
    <t xml:space="preserve">            LẬP BẢNG                 TRƯỞNG PHÒNG KIỂM SOÁT CHI                        GIÁM ĐỐC</t>
  </si>
  <si>
    <t>Nâng cấp, đường dọc sông ,kè chống sạt lở và nạo vét sông cầu treo, huyện Yên Mỹ</t>
  </si>
  <si>
    <t>TÍNH ĐẾN 30 THÁNG 11 NĂM 2018</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</si>
</sst>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 ###\ ###\ ###\ ###\ ###"/>
    <numFmt numFmtId="177" formatCode="###\ ###\ ###\ ###\ ###"/>
    <numFmt numFmtId="178" formatCode="#.#\O\l"/>
    <numFmt numFmtId="179" formatCode="###\ ###\ ###\ ###\ ##0"/>
    <numFmt numFmtId="180" formatCode="###\ ###\ ###"/>
    <numFmt numFmtId="181" formatCode="###\ ###\ ###\ ###"/>
    <numFmt numFmtId="182" formatCode="_(* #,##0_);_(* \(#,##0\);_(* &quot;-&quot;??_);_(@_)"/>
    <numFmt numFmtId="183" formatCode="[$-42A]dd\ mmmm\ yyyy"/>
    <numFmt numFmtId="184" formatCode="[$-409]dddd\,\ mmmm\ dd\,\ yyyy"/>
    <numFmt numFmtId="185" formatCode="###\ ###\ ###\ ###\ ###\ ###\ "/>
    <numFmt numFmtId="186" formatCode="###\ ###\ ###\ ###\ ###\ ###\ ###"/>
    <numFmt numFmtId="187" formatCode="_(* #,##0.0_);_(* \(#,##0.0\);_(* &quot;-&quot;??_);_(@_)"/>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8"/>
      <name val="Arial"/>
      <family val="2"/>
    </font>
    <font>
      <sz val="14"/>
      <name val=".VnTime"/>
      <family val="2"/>
    </font>
    <font>
      <b/>
      <sz val="12"/>
      <name val="Times New Roman"/>
      <family val="1"/>
    </font>
    <font>
      <sz val="12"/>
      <name val="Times New Roman"/>
      <family val="1"/>
    </font>
    <font>
      <sz val="13"/>
      <name val="Times New Roman"/>
      <family val="1"/>
    </font>
    <font>
      <sz val="12"/>
      <name val="Arial"/>
      <family val="2"/>
    </font>
    <font>
      <b/>
      <sz val="12"/>
      <name val=".VnArial Narrow"/>
      <family val="2"/>
    </font>
    <font>
      <b/>
      <sz val="12"/>
      <name val="Arial"/>
      <family val="2"/>
    </font>
    <font>
      <b/>
      <sz val="12"/>
      <color indexed="10"/>
      <name val="Arial"/>
      <family val="2"/>
    </font>
    <font>
      <sz val="12"/>
      <color indexed="10"/>
      <name val="Arial"/>
      <family val="2"/>
    </font>
    <font>
      <sz val="12"/>
      <color indexed="36"/>
      <name val="Arial"/>
      <family val="2"/>
    </font>
    <font>
      <sz val="12"/>
      <color indexed="8"/>
      <name val="Arial"/>
      <family val="2"/>
    </font>
    <font>
      <sz val="11"/>
      <name val="Times New Roman"/>
      <family val="1"/>
    </font>
    <font>
      <b/>
      <sz val="11"/>
      <name val="Times New Roman"/>
      <family val="1"/>
    </font>
    <font>
      <b/>
      <sz val="11"/>
      <name val=".VnArial Narrow"/>
      <family val="2"/>
    </font>
    <font>
      <sz val="11"/>
      <name val="Arial"/>
      <family val="2"/>
    </font>
    <font>
      <b/>
      <sz val="14"/>
      <name val="Times New Roman"/>
      <family val="1"/>
    </font>
    <font>
      <b/>
      <i/>
      <sz val="12"/>
      <name val="Times New Roman"/>
      <family val="1"/>
    </font>
    <font>
      <b/>
      <sz val="13"/>
      <name val="Times New Roman"/>
      <family val="1"/>
    </font>
    <font>
      <b/>
      <u val="single"/>
      <sz val="13"/>
      <name val="Times New Roman"/>
      <family val="1"/>
    </font>
    <font>
      <sz val="12"/>
      <color indexed="8"/>
      <name val=".VnArial Narrow"/>
      <family val="2"/>
    </font>
    <font>
      <b/>
      <sz val="12"/>
      <color indexed="8"/>
      <name val=".VnArial Narrow"/>
      <family val="2"/>
    </font>
    <font>
      <sz val="12"/>
      <color indexed="8"/>
      <name val="Times New Roman"/>
      <family val="1"/>
    </font>
    <font>
      <sz val="12"/>
      <color indexed="10"/>
      <name val="Times New Roman"/>
      <family val="1"/>
    </font>
    <font>
      <b/>
      <sz val="12"/>
      <color indexed="10"/>
      <name val="Times New Roman"/>
      <family val="1"/>
    </font>
    <font>
      <b/>
      <sz val="12"/>
      <color indexed="8"/>
      <name val="Arial"/>
      <family val="2"/>
    </font>
    <font>
      <sz val="11"/>
      <color indexed="8"/>
      <name val=".VnArial Narrow"/>
      <family val="2"/>
    </font>
    <font>
      <b/>
      <sz val="11"/>
      <color indexed="8"/>
      <name val=".VnArial Narrow"/>
      <family val="2"/>
    </font>
    <font>
      <sz val="11"/>
      <color indexed="8"/>
      <name val="Times New Roman"/>
      <family val="1"/>
    </font>
    <font>
      <b/>
      <sz val="11"/>
      <color indexed="8"/>
      <name val="Times New Roman"/>
      <family val="1"/>
    </font>
    <font>
      <b/>
      <sz val="12"/>
      <color indexed="8"/>
      <name val="Times New Roman"/>
      <family val="1"/>
    </font>
    <font>
      <sz val="11"/>
      <color indexed="8"/>
      <name val="Arial"/>
      <family val="2"/>
    </font>
    <font>
      <sz val="8"/>
      <name val="Tahoma"/>
      <family val="2"/>
    </font>
    <font>
      <sz val="12"/>
      <name val="Cambria"/>
      <family val="1"/>
    </font>
    <font>
      <b/>
      <sz val="12"/>
      <color rgb="FFFF0000"/>
      <name val="Arial"/>
      <family val="2"/>
    </font>
    <font>
      <sz val="12"/>
      <color theme="1"/>
      <name val=".VnArial Narrow"/>
      <family val="2"/>
    </font>
    <font>
      <sz val="12"/>
      <color rgb="FFFF0000"/>
      <name val="Arial"/>
      <family val="2"/>
    </font>
    <font>
      <b/>
      <sz val="12"/>
      <color theme="1"/>
      <name val=".VnArial Narrow"/>
      <family val="2"/>
    </font>
    <font>
      <sz val="12"/>
      <color theme="1"/>
      <name val="Times New Roman"/>
      <family val="1"/>
    </font>
    <font>
      <sz val="12"/>
      <color rgb="FFFF0000"/>
      <name val="Times New Roman"/>
      <family val="1"/>
    </font>
    <font>
      <b/>
      <sz val="12"/>
      <name val="Cambria"/>
      <family val="1"/>
    </font>
    <font>
      <b/>
      <sz val="12"/>
      <color indexed="10"/>
      <name val="Cambria"/>
      <family val="1"/>
    </font>
    <font>
      <b/>
      <sz val="12"/>
      <color rgb="FFFF0000"/>
      <name val="Cambria"/>
      <family val="1"/>
    </font>
    <font>
      <b/>
      <sz val="12"/>
      <color theme="1"/>
      <name val="Arial"/>
      <family val="2"/>
    </font>
    <font>
      <sz val="11"/>
      <name val="Cambria"/>
      <family val="1"/>
    </font>
    <font>
      <sz val="11"/>
      <color theme="1"/>
      <name val=".VnArial Narrow"/>
      <family val="2"/>
    </font>
    <font>
      <b/>
      <sz val="11"/>
      <color theme="1"/>
      <name val=".VnArial Narrow"/>
      <family val="2"/>
    </font>
    <font>
      <sz val="11"/>
      <color theme="1"/>
      <name val="Times New Roman"/>
      <family val="1"/>
    </font>
    <font>
      <sz val="11"/>
      <color theme="1"/>
      <name val="Cambria"/>
      <family val="1"/>
    </font>
    <font>
      <b/>
      <sz val="11"/>
      <color theme="1"/>
      <name val="Cambria"/>
      <family val="1"/>
    </font>
    <font>
      <b/>
      <sz val="11"/>
      <color theme="1"/>
      <name val="Times New Roman"/>
      <family val="1"/>
    </font>
    <font>
      <sz val="12"/>
      <color theme="1"/>
      <name val="Cambria"/>
      <family val="1"/>
    </font>
    <font>
      <sz val="13"/>
      <name val="Cambria"/>
      <family val="1"/>
    </font>
    <font>
      <b/>
      <sz val="12"/>
      <color theme="1"/>
      <name val="Cambria"/>
      <family val="1"/>
    </font>
    <font>
      <sz val="11"/>
      <color theme="1"/>
      <name val="Arial"/>
      <family val="2"/>
    </font>
    <font>
      <sz val="12"/>
      <color theme="1"/>
      <name val="Arial"/>
      <family val="2"/>
    </font>
    <font>
      <b/>
      <sz val="13"/>
      <name val="Cambria"/>
      <family val="1"/>
    </font>
    <font>
      <b/>
      <sz val="14"/>
      <name val="Cambria"/>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21" borderId="2"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21"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8">
    <xf numFmtId="0" fontId="0" fillId="0" borderId="0" xfId="0" applyAlignment="1">
      <alignment/>
    </xf>
    <xf numFmtId="0" fontId="22" fillId="0" borderId="0" xfId="0" applyFont="1" applyFill="1" applyAlignment="1">
      <alignment horizontal="center"/>
    </xf>
    <xf numFmtId="0" fontId="53" fillId="0" borderId="0" xfId="0" applyFont="1" applyFill="1" applyAlignment="1">
      <alignment/>
    </xf>
    <xf numFmtId="0" fontId="24" fillId="0" borderId="0" xfId="0" applyFont="1" applyFill="1" applyAlignment="1">
      <alignment vertical="center"/>
    </xf>
    <xf numFmtId="0" fontId="53" fillId="0" borderId="0" xfId="0" applyFont="1" applyFill="1" applyAlignment="1">
      <alignment horizontal="left"/>
    </xf>
    <xf numFmtId="0" fontId="23" fillId="0" borderId="0" xfId="0" applyFont="1" applyFill="1" applyAlignment="1">
      <alignment/>
    </xf>
    <xf numFmtId="0" fontId="25" fillId="0" borderId="0" xfId="0" applyFont="1" applyFill="1" applyAlignment="1">
      <alignment/>
    </xf>
    <xf numFmtId="0" fontId="23" fillId="0" borderId="0" xfId="0" applyFont="1" applyFill="1" applyAlignment="1">
      <alignment vertical="center"/>
    </xf>
    <xf numFmtId="0" fontId="23" fillId="0" borderId="0" xfId="0" applyFont="1" applyFill="1" applyAlignment="1">
      <alignment/>
    </xf>
    <xf numFmtId="9" fontId="26" fillId="24" borderId="10" xfId="61" applyFont="1" applyFill="1" applyBorder="1" applyAlignment="1">
      <alignment vertical="center" wrapText="1"/>
    </xf>
    <xf numFmtId="0" fontId="27" fillId="0" borderId="0" xfId="0" applyFont="1" applyFill="1" applyBorder="1" applyAlignment="1">
      <alignment wrapText="1"/>
    </xf>
    <xf numFmtId="0" fontId="27" fillId="0" borderId="0" xfId="0" applyFont="1" applyFill="1" applyAlignment="1">
      <alignment wrapText="1"/>
    </xf>
    <xf numFmtId="0" fontId="25" fillId="0" borderId="0" xfId="0" applyFont="1" applyFill="1" applyAlignment="1">
      <alignment wrapText="1"/>
    </xf>
    <xf numFmtId="0" fontId="54" fillId="0" borderId="0" xfId="0" applyFont="1" applyFill="1" applyAlignment="1">
      <alignment wrapText="1"/>
    </xf>
    <xf numFmtId="9" fontId="55" fillId="0" borderId="10" xfId="61" applyFont="1" applyFill="1" applyBorder="1" applyAlignment="1">
      <alignment vertical="center" wrapText="1"/>
    </xf>
    <xf numFmtId="0" fontId="54" fillId="0" borderId="0" xfId="0" applyFont="1" applyFill="1" applyBorder="1" applyAlignment="1">
      <alignment wrapText="1"/>
    </xf>
    <xf numFmtId="0" fontId="28" fillId="0" borderId="0" xfId="0" applyFont="1" applyFill="1" applyAlignment="1">
      <alignment wrapText="1"/>
    </xf>
    <xf numFmtId="0" fontId="56" fillId="0" borderId="0" xfId="0" applyFont="1" applyFill="1" applyAlignment="1">
      <alignment wrapText="1"/>
    </xf>
    <xf numFmtId="9" fontId="57" fillId="0" borderId="10" xfId="61" applyFont="1" applyFill="1" applyBorder="1" applyAlignment="1">
      <alignment vertical="center" wrapText="1"/>
    </xf>
    <xf numFmtId="9" fontId="58" fillId="0" borderId="10" xfId="61" applyFont="1" applyFill="1" applyBorder="1" applyAlignment="1">
      <alignment vertical="center" wrapText="1"/>
    </xf>
    <xf numFmtId="0" fontId="59" fillId="0" borderId="0" xfId="0" applyFont="1" applyFill="1" applyAlignment="1">
      <alignment wrapText="1"/>
    </xf>
    <xf numFmtId="0" fontId="29" fillId="0" borderId="0" xfId="0" applyFont="1" applyFill="1" applyAlignment="1">
      <alignment wrapText="1"/>
    </xf>
    <xf numFmtId="9" fontId="57" fillId="24" borderId="10" xfId="61" applyFont="1" applyFill="1" applyBorder="1" applyAlignment="1">
      <alignment vertical="center" wrapText="1"/>
    </xf>
    <xf numFmtId="0" fontId="27" fillId="0" borderId="0" xfId="0" applyFont="1" applyFill="1" applyAlignment="1">
      <alignment vertical="center" wrapText="1"/>
    </xf>
    <xf numFmtId="9" fontId="57" fillId="0" borderId="10" xfId="61" applyFont="1" applyFill="1" applyBorder="1" applyAlignment="1">
      <alignment vertical="center"/>
    </xf>
    <xf numFmtId="0" fontId="54" fillId="0" borderId="11" xfId="0" applyFont="1" applyFill="1" applyBorder="1" applyAlignment="1">
      <alignment wrapText="1"/>
    </xf>
    <xf numFmtId="9" fontId="55" fillId="25" borderId="10" xfId="61" applyFont="1" applyFill="1" applyBorder="1" applyAlignment="1">
      <alignment vertical="center" wrapText="1"/>
    </xf>
    <xf numFmtId="0" fontId="27" fillId="25" borderId="0" xfId="0" applyFont="1" applyFill="1" applyAlignment="1">
      <alignment wrapText="1"/>
    </xf>
    <xf numFmtId="0" fontId="30" fillId="0" borderId="0" xfId="0" applyFont="1" applyFill="1" applyAlignment="1">
      <alignment wrapText="1"/>
    </xf>
    <xf numFmtId="9" fontId="57" fillId="26" borderId="10" xfId="61" applyFont="1" applyFill="1" applyBorder="1" applyAlignment="1">
      <alignment vertical="center" wrapText="1"/>
    </xf>
    <xf numFmtId="0" fontId="27" fillId="26" borderId="0" xfId="0" applyFont="1" applyFill="1" applyBorder="1" applyAlignment="1">
      <alignment wrapText="1"/>
    </xf>
    <xf numFmtId="9" fontId="55" fillId="26" borderId="10" xfId="61" applyFont="1" applyFill="1" applyBorder="1" applyAlignment="1">
      <alignment vertical="center" wrapText="1"/>
    </xf>
    <xf numFmtId="0" fontId="25" fillId="0" borderId="0" xfId="0" applyFont="1" applyFill="1" applyAlignment="1">
      <alignment wrapText="1"/>
    </xf>
    <xf numFmtId="0" fontId="60" fillId="0" borderId="0" xfId="0" applyFont="1" applyFill="1" applyAlignment="1">
      <alignment wrapText="1"/>
    </xf>
    <xf numFmtId="0" fontId="22" fillId="0" borderId="0" xfId="0" applyFont="1" applyFill="1" applyAlignment="1">
      <alignment wrapText="1"/>
    </xf>
    <xf numFmtId="0" fontId="56" fillId="0" borderId="12" xfId="0" applyFont="1" applyFill="1" applyBorder="1" applyAlignment="1">
      <alignment wrapText="1"/>
    </xf>
    <xf numFmtId="9" fontId="57" fillId="25" borderId="10" xfId="61" applyFont="1" applyFill="1" applyBorder="1" applyAlignment="1">
      <alignment vertical="center" wrapText="1"/>
    </xf>
    <xf numFmtId="0" fontId="61" fillId="0" borderId="0" xfId="0" applyFont="1" applyFill="1" applyAlignment="1">
      <alignment wrapText="1"/>
    </xf>
    <xf numFmtId="0" fontId="62" fillId="0" borderId="0" xfId="0" applyFont="1" applyFill="1" applyAlignment="1">
      <alignment wrapText="1"/>
    </xf>
    <xf numFmtId="0" fontId="27" fillId="0" borderId="0" xfId="0" applyFont="1" applyFill="1" applyAlignment="1">
      <alignment/>
    </xf>
    <xf numFmtId="0" fontId="25" fillId="0" borderId="0" xfId="0" applyFont="1" applyFill="1" applyAlignment="1">
      <alignment/>
    </xf>
    <xf numFmtId="0" fontId="60" fillId="0" borderId="0" xfId="0" applyFont="1" applyFill="1" applyAlignment="1">
      <alignment/>
    </xf>
    <xf numFmtId="0" fontId="63" fillId="0" borderId="0" xfId="0" applyFont="1" applyFill="1" applyBorder="1" applyAlignment="1">
      <alignment wrapText="1"/>
    </xf>
    <xf numFmtId="0" fontId="28" fillId="0" borderId="0" xfId="0" applyFont="1" applyFill="1" applyBorder="1" applyAlignment="1">
      <alignment wrapText="1"/>
    </xf>
    <xf numFmtId="0" fontId="56" fillId="0" borderId="0" xfId="0" applyFont="1" applyFill="1" applyAlignment="1">
      <alignment/>
    </xf>
    <xf numFmtId="0" fontId="27" fillId="0" borderId="0" xfId="0" applyFont="1" applyFill="1" applyAlignment="1">
      <alignment/>
    </xf>
    <xf numFmtId="0" fontId="31" fillId="0" borderId="0" xfId="0" applyFont="1" applyFill="1" applyAlignment="1">
      <alignment/>
    </xf>
    <xf numFmtId="0" fontId="25" fillId="0" borderId="0" xfId="0" applyFont="1" applyFill="1" applyAlignment="1">
      <alignment horizontal="left" indent="1"/>
    </xf>
    <xf numFmtId="0" fontId="25" fillId="0" borderId="0" xfId="0" applyFont="1" applyFill="1" applyAlignment="1">
      <alignment horizontal="center"/>
    </xf>
    <xf numFmtId="0" fontId="25" fillId="0" borderId="0" xfId="0" applyFont="1" applyFill="1" applyAlignment="1">
      <alignment horizontal="left"/>
    </xf>
    <xf numFmtId="0" fontId="64" fillId="0" borderId="0" xfId="0" applyFont="1" applyFill="1" applyAlignment="1">
      <alignment/>
    </xf>
    <xf numFmtId="177" fontId="34" fillId="24" borderId="10" xfId="0" applyNumberFormat="1" applyFont="1" applyFill="1" applyBorder="1" applyAlignment="1">
      <alignment vertical="center" wrapText="1"/>
    </xf>
    <xf numFmtId="177" fontId="65" fillId="0" borderId="10" xfId="0" applyNumberFormat="1" applyFont="1" applyFill="1" applyBorder="1" applyAlignment="1">
      <alignment vertical="center" wrapText="1"/>
    </xf>
    <xf numFmtId="177" fontId="66" fillId="0" borderId="10" xfId="0" applyNumberFormat="1" applyFont="1" applyFill="1" applyBorder="1" applyAlignment="1">
      <alignment vertical="center" wrapText="1"/>
    </xf>
    <xf numFmtId="177" fontId="67" fillId="0" borderId="10" xfId="0" applyNumberFormat="1" applyFont="1" applyFill="1" applyBorder="1" applyAlignment="1">
      <alignment vertical="center" wrapText="1"/>
    </xf>
    <xf numFmtId="177" fontId="66" fillId="24" borderId="10" xfId="0" applyNumberFormat="1" applyFont="1" applyFill="1" applyBorder="1" applyAlignment="1">
      <alignment vertical="center" wrapText="1"/>
    </xf>
    <xf numFmtId="177" fontId="66" fillId="0" borderId="10" xfId="41" applyNumberFormat="1" applyFont="1" applyFill="1" applyBorder="1" applyAlignment="1">
      <alignment vertical="center"/>
    </xf>
    <xf numFmtId="177" fontId="65" fillId="0" borderId="10" xfId="41" applyNumberFormat="1" applyFont="1" applyFill="1" applyBorder="1" applyAlignment="1">
      <alignment vertical="center"/>
    </xf>
    <xf numFmtId="177" fontId="65" fillId="25" borderId="10" xfId="0" applyNumberFormat="1" applyFont="1" applyFill="1" applyBorder="1" applyAlignment="1">
      <alignment vertical="center" wrapText="1"/>
    </xf>
    <xf numFmtId="177" fontId="68" fillId="0" borderId="10" xfId="0" applyNumberFormat="1" applyFont="1" applyFill="1" applyBorder="1" applyAlignment="1">
      <alignment vertical="center" wrapText="1"/>
    </xf>
    <xf numFmtId="177" fontId="69" fillId="0" borderId="10" xfId="0" applyNumberFormat="1" applyFont="1" applyFill="1" applyBorder="1" applyAlignment="1">
      <alignment vertical="center" wrapText="1"/>
    </xf>
    <xf numFmtId="0" fontId="35" fillId="0" borderId="0" xfId="0" applyFont="1" applyFill="1" applyAlignment="1">
      <alignment/>
    </xf>
    <xf numFmtId="9" fontId="57" fillId="0" borderId="13" xfId="61" applyFont="1" applyFill="1" applyBorder="1" applyAlignment="1">
      <alignment vertical="center" wrapText="1"/>
    </xf>
    <xf numFmtId="0" fontId="24" fillId="0" borderId="0" xfId="0" applyFont="1" applyFill="1" applyAlignment="1">
      <alignment horizontal="left" vertical="center"/>
    </xf>
    <xf numFmtId="0" fontId="33" fillId="24" borderId="10" xfId="0" applyFont="1" applyFill="1" applyBorder="1" applyAlignment="1">
      <alignment horizontal="center" vertical="center" wrapText="1"/>
    </xf>
    <xf numFmtId="0" fontId="33" fillId="24" borderId="10" xfId="0" applyFont="1" applyFill="1" applyBorder="1" applyAlignment="1">
      <alignment vertical="center" wrapText="1"/>
    </xf>
    <xf numFmtId="0" fontId="70" fillId="0" borderId="10" xfId="0" applyFont="1" applyFill="1" applyBorder="1" applyAlignment="1">
      <alignment horizontal="center" vertical="center" wrapText="1"/>
    </xf>
    <xf numFmtId="0" fontId="67" fillId="0" borderId="10" xfId="0" applyFont="1" applyFill="1" applyBorder="1" applyAlignment="1">
      <alignment vertical="center" wrapText="1"/>
    </xf>
    <xf numFmtId="0" fontId="70" fillId="0" borderId="10"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left" vertical="center" wrapText="1"/>
    </xf>
    <xf numFmtId="180" fontId="70" fillId="0" borderId="10" xfId="0" applyNumberFormat="1" applyFont="1" applyFill="1" applyBorder="1" applyAlignment="1">
      <alignment horizontal="left" vertical="center" wrapText="1"/>
    </xf>
    <xf numFmtId="179" fontId="70" fillId="0" borderId="10" xfId="0" applyNumberFormat="1" applyFont="1" applyFill="1" applyBorder="1" applyAlignment="1">
      <alignment horizontal="left" vertical="center" wrapText="1"/>
    </xf>
    <xf numFmtId="0" fontId="70" fillId="24" borderId="10" xfId="0" applyFont="1" applyFill="1" applyBorder="1" applyAlignment="1">
      <alignment horizontal="center" vertical="center" wrapText="1"/>
    </xf>
    <xf numFmtId="0" fontId="70" fillId="24" borderId="10" xfId="0" applyFont="1" applyFill="1" applyBorder="1" applyAlignment="1">
      <alignment vertical="center" wrapText="1"/>
    </xf>
    <xf numFmtId="180" fontId="70" fillId="0" borderId="10" xfId="0" applyNumberFormat="1" applyFont="1" applyFill="1" applyBorder="1" applyAlignment="1">
      <alignment vertical="center" wrapText="1"/>
    </xf>
    <xf numFmtId="179" fontId="70" fillId="0" borderId="10" xfId="0" applyNumberFormat="1" applyFont="1" applyFill="1" applyBorder="1" applyAlignment="1">
      <alignment vertical="center" wrapText="1"/>
    </xf>
    <xf numFmtId="0" fontId="70" fillId="0" borderId="10" xfId="0" applyFont="1" applyFill="1" applyBorder="1" applyAlignment="1">
      <alignment horizontal="center" vertical="center"/>
    </xf>
    <xf numFmtId="0" fontId="70" fillId="0" borderId="10" xfId="0" applyFont="1" applyFill="1" applyBorder="1" applyAlignment="1">
      <alignment vertical="center" wrapText="1"/>
    </xf>
    <xf numFmtId="0" fontId="67" fillId="0" borderId="10" xfId="0" applyFont="1" applyFill="1" applyBorder="1" applyAlignment="1">
      <alignment horizontal="center" vertical="center"/>
    </xf>
    <xf numFmtId="0" fontId="67" fillId="0" borderId="10" xfId="58" applyFont="1" applyFill="1" applyBorder="1" applyAlignment="1">
      <alignment vertical="center" wrapText="1"/>
      <protection/>
    </xf>
    <xf numFmtId="0" fontId="70" fillId="25" borderId="10" xfId="0" applyFont="1" applyFill="1" applyBorder="1" applyAlignment="1">
      <alignment horizontal="center" vertical="center" wrapText="1"/>
    </xf>
    <xf numFmtId="0" fontId="67" fillId="25" borderId="10" xfId="0" applyFont="1" applyFill="1" applyBorder="1" applyAlignment="1">
      <alignment vertical="center" wrapText="1"/>
    </xf>
    <xf numFmtId="180" fontId="67" fillId="0" borderId="10" xfId="0" applyNumberFormat="1" applyFont="1" applyFill="1" applyBorder="1" applyAlignment="1">
      <alignment horizontal="left" vertical="center" wrapText="1"/>
    </xf>
    <xf numFmtId="0" fontId="69"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9" fillId="25" borderId="10" xfId="0" applyFont="1" applyFill="1" applyBorder="1" applyAlignment="1">
      <alignment vertical="center" wrapText="1"/>
    </xf>
    <xf numFmtId="0" fontId="68" fillId="25" borderId="10" xfId="0" applyFont="1" applyFill="1" applyBorder="1" applyAlignment="1">
      <alignment vertical="center" wrapText="1"/>
    </xf>
    <xf numFmtId="177" fontId="70" fillId="0" borderId="10" xfId="0" applyNumberFormat="1" applyFont="1" applyFill="1" applyBorder="1" applyAlignment="1">
      <alignment horizontal="left" vertical="center" wrapText="1"/>
    </xf>
    <xf numFmtId="0" fontId="33" fillId="24" borderId="10" xfId="0" applyFont="1" applyFill="1" applyBorder="1" applyAlignment="1">
      <alignment horizontal="left" vertical="center" wrapText="1"/>
    </xf>
    <xf numFmtId="179" fontId="67" fillId="0" borderId="10" xfId="0" applyNumberFormat="1" applyFont="1" applyFill="1" applyBorder="1" applyAlignment="1">
      <alignment horizontal="left" vertical="center" wrapText="1"/>
    </xf>
    <xf numFmtId="0" fontId="70" fillId="24" borderId="10" xfId="0" applyFont="1" applyFill="1" applyBorder="1" applyAlignment="1">
      <alignment horizontal="left" vertical="center" wrapText="1"/>
    </xf>
    <xf numFmtId="0" fontId="70" fillId="0" borderId="10" xfId="0" applyFont="1" applyFill="1" applyBorder="1" applyAlignment="1">
      <alignment horizontal="left" vertical="center"/>
    </xf>
    <xf numFmtId="179" fontId="67" fillId="25" borderId="10" xfId="0" applyNumberFormat="1" applyFont="1" applyFill="1" applyBorder="1" applyAlignment="1">
      <alignment horizontal="left" vertical="center" wrapText="1"/>
    </xf>
    <xf numFmtId="0" fontId="67" fillId="26" borderId="10" xfId="0" applyFont="1" applyFill="1" applyBorder="1" applyAlignment="1">
      <alignment horizontal="left" vertical="center" wrapText="1"/>
    </xf>
    <xf numFmtId="180" fontId="70" fillId="24" borderId="10" xfId="0" applyNumberFormat="1" applyFont="1" applyFill="1" applyBorder="1" applyAlignment="1">
      <alignment horizontal="left" vertical="center" wrapText="1"/>
    </xf>
    <xf numFmtId="179" fontId="70" fillId="24" borderId="10" xfId="0" applyNumberFormat="1" applyFont="1" applyFill="1" applyBorder="1" applyAlignment="1">
      <alignment horizontal="left" vertical="center" wrapText="1"/>
    </xf>
    <xf numFmtId="9" fontId="71" fillId="0" borderId="10" xfId="61" applyFont="1" applyFill="1" applyBorder="1" applyAlignment="1">
      <alignment vertical="center" wrapText="1"/>
    </xf>
    <xf numFmtId="0" fontId="27" fillId="0" borderId="14" xfId="0" applyFont="1" applyFill="1" applyBorder="1" applyAlignment="1">
      <alignment wrapText="1"/>
    </xf>
    <xf numFmtId="0" fontId="72" fillId="0" borderId="0" xfId="0" applyFont="1" applyFill="1" applyAlignment="1">
      <alignment horizontal="left"/>
    </xf>
    <xf numFmtId="0" fontId="37" fillId="0" borderId="15" xfId="0" applyFont="1" applyFill="1" applyBorder="1" applyAlignment="1">
      <alignment horizontal="right" vertical="center"/>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177" fontId="34" fillId="0" borderId="10" xfId="0" applyNumberFormat="1" applyFont="1" applyFill="1" applyBorder="1" applyAlignment="1">
      <alignment vertical="center" wrapText="1"/>
    </xf>
    <xf numFmtId="9" fontId="26" fillId="0" borderId="10" xfId="61" applyFont="1" applyFill="1" applyBorder="1" applyAlignment="1">
      <alignment horizontal="right" vertical="center"/>
    </xf>
    <xf numFmtId="180" fontId="33" fillId="0" borderId="10" xfId="0" applyNumberFormat="1" applyFont="1" applyFill="1" applyBorder="1" applyAlignment="1">
      <alignment horizontal="left" vertical="center" wrapText="1"/>
    </xf>
    <xf numFmtId="0" fontId="33" fillId="0" borderId="10" xfId="0" applyFont="1" applyFill="1" applyBorder="1" applyAlignment="1">
      <alignment horizontal="left" vertical="center" wrapText="1"/>
    </xf>
    <xf numFmtId="9" fontId="26" fillId="0" borderId="10" xfId="61" applyFont="1" applyFill="1" applyBorder="1" applyAlignment="1">
      <alignment vertical="center" wrapText="1"/>
    </xf>
    <xf numFmtId="180" fontId="67" fillId="0" borderId="10" xfId="0" applyNumberFormat="1" applyFont="1" applyFill="1" applyBorder="1" applyAlignment="1">
      <alignment vertical="center" wrapText="1"/>
    </xf>
    <xf numFmtId="0" fontId="70" fillId="26" borderId="10" xfId="0" applyFont="1" applyFill="1" applyBorder="1" applyAlignment="1">
      <alignment horizontal="center" vertical="center" wrapText="1"/>
    </xf>
    <xf numFmtId="0" fontId="70" fillId="26" borderId="10" xfId="0" applyFont="1" applyFill="1" applyBorder="1" applyAlignment="1">
      <alignment vertical="center" wrapText="1"/>
    </xf>
    <xf numFmtId="0" fontId="70" fillId="26" borderId="10" xfId="0" applyFont="1" applyFill="1" applyBorder="1" applyAlignment="1">
      <alignment horizontal="left" vertical="center" wrapText="1"/>
    </xf>
    <xf numFmtId="177" fontId="66" fillId="26" borderId="10" xfId="0" applyNumberFormat="1" applyFont="1" applyFill="1" applyBorder="1" applyAlignment="1">
      <alignment vertical="center" wrapText="1"/>
    </xf>
    <xf numFmtId="0" fontId="67" fillId="26" borderId="10" xfId="0" applyFont="1" applyFill="1" applyBorder="1" applyAlignment="1">
      <alignment vertical="center" wrapText="1"/>
    </xf>
    <xf numFmtId="177" fontId="65" fillId="26" borderId="10" xfId="0" applyNumberFormat="1" applyFont="1" applyFill="1" applyBorder="1" applyAlignment="1">
      <alignment vertical="center" wrapText="1"/>
    </xf>
    <xf numFmtId="9" fontId="73" fillId="0" borderId="10" xfId="61" applyFont="1" applyFill="1" applyBorder="1" applyAlignment="1">
      <alignment vertical="center" wrapText="1"/>
    </xf>
    <xf numFmtId="179" fontId="68" fillId="0" borderId="10" xfId="0" applyNumberFormat="1" applyFont="1" applyFill="1" applyBorder="1" applyAlignment="1">
      <alignment horizontal="left" vertical="center" wrapText="1"/>
    </xf>
    <xf numFmtId="0" fontId="68" fillId="0" borderId="10" xfId="0" applyFont="1" applyFill="1" applyBorder="1" applyAlignment="1">
      <alignment horizontal="center" vertical="center"/>
    </xf>
    <xf numFmtId="177" fontId="68" fillId="0" borderId="10" xfId="41" applyNumberFormat="1" applyFont="1" applyFill="1" applyBorder="1" applyAlignment="1">
      <alignment vertical="center"/>
    </xf>
    <xf numFmtId="0" fontId="68" fillId="0" borderId="10" xfId="0" applyFont="1" applyFill="1" applyBorder="1" applyAlignment="1">
      <alignment horizontal="left" vertical="center" wrapText="1"/>
    </xf>
    <xf numFmtId="9" fontId="55" fillId="0" borderId="13" xfId="61" applyFont="1" applyFill="1" applyBorder="1" applyAlignment="1">
      <alignment vertical="center" wrapText="1"/>
    </xf>
    <xf numFmtId="178" fontId="67" fillId="0" borderId="10" xfId="0" applyNumberFormat="1" applyFont="1" applyFill="1" applyBorder="1" applyAlignment="1">
      <alignment vertical="center" wrapText="1"/>
    </xf>
    <xf numFmtId="0" fontId="68" fillId="0" borderId="10" xfId="57" applyFont="1" applyBorder="1" applyAlignment="1">
      <alignment vertical="center" wrapText="1"/>
      <protection/>
    </xf>
    <xf numFmtId="0" fontId="68" fillId="25" borderId="10" xfId="0" applyFont="1" applyFill="1" applyBorder="1" applyAlignment="1">
      <alignment wrapText="1"/>
    </xf>
    <xf numFmtId="177" fontId="74" fillId="25" borderId="10" xfId="0" applyNumberFormat="1" applyFont="1" applyFill="1" applyBorder="1" applyAlignment="1">
      <alignment horizontal="center" vertical="center"/>
    </xf>
    <xf numFmtId="180" fontId="70" fillId="0" borderId="10" xfId="0" applyNumberFormat="1" applyFont="1" applyFill="1" applyBorder="1" applyAlignment="1">
      <alignment horizontal="right" vertical="center" wrapText="1"/>
    </xf>
    <xf numFmtId="0" fontId="75" fillId="0" borderId="0" xfId="0" applyFont="1" applyFill="1" applyAlignment="1">
      <alignment wrapText="1"/>
    </xf>
    <xf numFmtId="177" fontId="67" fillId="0" borderId="10" xfId="0" applyNumberFormat="1" applyFont="1" applyFill="1" applyBorder="1" applyAlignment="1">
      <alignment horizontal="center" vertical="center" wrapText="1"/>
    </xf>
    <xf numFmtId="0" fontId="53" fillId="0" borderId="0" xfId="0" applyFont="1" applyFill="1" applyAlignment="1">
      <alignment horizontal="center"/>
    </xf>
    <xf numFmtId="0" fontId="76" fillId="0" borderId="0" xfId="0" applyFont="1" applyFill="1" applyAlignment="1">
      <alignment horizontal="left"/>
    </xf>
    <xf numFmtId="0" fontId="76" fillId="0" borderId="0" xfId="0" applyFont="1" applyFill="1" applyAlignment="1">
      <alignment horizontal="center"/>
    </xf>
    <xf numFmtId="0" fontId="36" fillId="0" borderId="0" xfId="0" applyFont="1" applyFill="1" applyAlignment="1">
      <alignment horizontal="center" vertical="center"/>
    </xf>
    <xf numFmtId="176" fontId="33"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0" xfId="0" applyFont="1" applyFill="1" applyAlignment="1">
      <alignment horizontal="left"/>
    </xf>
    <xf numFmtId="0" fontId="77" fillId="0" borderId="0" xfId="0"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8"/>
  <sheetViews>
    <sheetView tabSelected="1" view="pageBreakPreview" zoomScale="130" zoomScaleSheetLayoutView="130" workbookViewId="0" topLeftCell="A1">
      <selection activeCell="C10" sqref="C10"/>
    </sheetView>
  </sheetViews>
  <sheetFormatPr defaultColWidth="9.140625" defaultRowHeight="24.75" customHeight="1"/>
  <cols>
    <col min="1" max="1" width="3.28125" style="48" customWidth="1"/>
    <col min="2" max="2" width="44.8515625" style="6" customWidth="1"/>
    <col min="3" max="3" width="9.140625" style="49" customWidth="1"/>
    <col min="4" max="4" width="16.28125" style="61" customWidth="1"/>
    <col min="5" max="5" width="18.421875" style="61" customWidth="1"/>
    <col min="6" max="6" width="7.7109375" style="6" customWidth="1"/>
    <col min="7" max="16384" width="9.140625" style="6" customWidth="1"/>
  </cols>
  <sheetData>
    <row r="1" spans="1:2" ht="18.75" customHeight="1">
      <c r="A1" s="129" t="s">
        <v>459</v>
      </c>
      <c r="B1" s="129"/>
    </row>
    <row r="2" spans="1:5" s="2" customFormat="1" ht="16.5" customHeight="1">
      <c r="A2" s="131" t="s">
        <v>461</v>
      </c>
      <c r="B2" s="131"/>
      <c r="C2" s="4"/>
      <c r="D2" s="50"/>
      <c r="E2" s="50"/>
    </row>
    <row r="3" spans="1:5" s="2" customFormat="1" ht="20.25" customHeight="1">
      <c r="A3" s="99"/>
      <c r="B3" s="99"/>
      <c r="C3" s="4"/>
      <c r="D3" s="50"/>
      <c r="E3" s="50"/>
    </row>
    <row r="4" spans="1:6" s="2" customFormat="1" ht="24.75" customHeight="1">
      <c r="A4" s="137" t="s">
        <v>445</v>
      </c>
      <c r="B4" s="137"/>
      <c r="C4" s="137"/>
      <c r="D4" s="137"/>
      <c r="E4" s="137"/>
      <c r="F4" s="137"/>
    </row>
    <row r="5" spans="1:6" s="5" customFormat="1" ht="24.75" customHeight="1">
      <c r="A5" s="132" t="s">
        <v>466</v>
      </c>
      <c r="B5" s="132"/>
      <c r="C5" s="132"/>
      <c r="D5" s="132"/>
      <c r="E5" s="132"/>
      <c r="F5" s="132"/>
    </row>
    <row r="6" spans="1:6" ht="19.5" customHeight="1">
      <c r="A6" s="3"/>
      <c r="B6" s="3"/>
      <c r="C6" s="63"/>
      <c r="D6" s="3"/>
      <c r="E6" s="7"/>
      <c r="F6" s="100" t="s">
        <v>142</v>
      </c>
    </row>
    <row r="7" spans="1:6" s="7" customFormat="1" ht="20.25" customHeight="1">
      <c r="A7" s="135" t="s">
        <v>143</v>
      </c>
      <c r="B7" s="135" t="s">
        <v>1</v>
      </c>
      <c r="C7" s="135" t="s">
        <v>0</v>
      </c>
      <c r="D7" s="133" t="s">
        <v>435</v>
      </c>
      <c r="E7" s="133" t="s">
        <v>144</v>
      </c>
      <c r="F7" s="134" t="s">
        <v>134</v>
      </c>
    </row>
    <row r="8" spans="1:6" s="7" customFormat="1" ht="20.25" customHeight="1">
      <c r="A8" s="135"/>
      <c r="B8" s="135"/>
      <c r="C8" s="135"/>
      <c r="D8" s="133"/>
      <c r="E8" s="133"/>
      <c r="F8" s="134"/>
    </row>
    <row r="9" spans="1:6" s="8" customFormat="1" ht="24.75" customHeight="1">
      <c r="A9" s="101"/>
      <c r="B9" s="102" t="s">
        <v>136</v>
      </c>
      <c r="C9" s="103"/>
      <c r="D9" s="104">
        <f>D10+D52+D85+D115+D138+D164+D185+D208+D240+D270+D298</f>
        <v>2175907051255</v>
      </c>
      <c r="E9" s="104">
        <f>E10+E52+E85+E115+E138+E164+E185+E208+E240+E270+E298</f>
        <v>1241018184507</v>
      </c>
      <c r="F9" s="105">
        <f aca="true" t="shared" si="0" ref="F9:F51">E9/D9</f>
        <v>0.5703452193838964</v>
      </c>
    </row>
    <row r="10" spans="1:6" s="10" customFormat="1" ht="22.5" customHeight="1">
      <c r="A10" s="64" t="s">
        <v>113</v>
      </c>
      <c r="B10" s="65" t="s">
        <v>2</v>
      </c>
      <c r="C10" s="89"/>
      <c r="D10" s="51">
        <f>D11+D23+D29+D31+D33+D35+D37+D39+D41+D43+D45+D47+D49+D25</f>
        <v>197750596859</v>
      </c>
      <c r="E10" s="51">
        <f>E11+E23+E29+E31+E33+E35+E37+E39+E41+E43+E45+E47+E49+E25</f>
        <v>126736638698</v>
      </c>
      <c r="F10" s="9">
        <f t="shared" si="0"/>
        <v>0.640891308097369</v>
      </c>
    </row>
    <row r="11" spans="1:6" s="11" customFormat="1" ht="22.5" customHeight="1">
      <c r="A11" s="102">
        <v>1</v>
      </c>
      <c r="B11" s="106" t="s">
        <v>4</v>
      </c>
      <c r="C11" s="107"/>
      <c r="D11" s="104">
        <f>SUM(D12:D22)</f>
        <v>181750596859</v>
      </c>
      <c r="E11" s="104">
        <f>SUM(E12:E22)</f>
        <v>110736638698</v>
      </c>
      <c r="F11" s="108">
        <f t="shared" si="0"/>
        <v>0.6092779919942062</v>
      </c>
    </row>
    <row r="12" spans="1:6" s="11" customFormat="1" ht="33" customHeight="1">
      <c r="A12" s="66"/>
      <c r="B12" s="67" t="s">
        <v>3</v>
      </c>
      <c r="C12" s="70" t="s">
        <v>147</v>
      </c>
      <c r="D12" s="52">
        <v>5000000000</v>
      </c>
      <c r="E12" s="52">
        <f>1166877800+122854000+1088654583+208979500+14675418</f>
        <v>2602041301</v>
      </c>
      <c r="F12" s="14">
        <f t="shared" si="0"/>
        <v>0.5204082602</v>
      </c>
    </row>
    <row r="13" spans="1:6" s="11" customFormat="1" ht="33" customHeight="1">
      <c r="A13" s="66"/>
      <c r="B13" s="67" t="s">
        <v>3</v>
      </c>
      <c r="C13" s="90" t="s">
        <v>148</v>
      </c>
      <c r="D13" s="52">
        <v>2950596859</v>
      </c>
      <c r="E13" s="52">
        <v>2950596859</v>
      </c>
      <c r="F13" s="14">
        <f t="shared" si="0"/>
        <v>1</v>
      </c>
    </row>
    <row r="14" spans="1:6" s="12" customFormat="1" ht="33" customHeight="1">
      <c r="A14" s="66"/>
      <c r="B14" s="67" t="s">
        <v>145</v>
      </c>
      <c r="C14" s="70" t="s">
        <v>147</v>
      </c>
      <c r="D14" s="52">
        <v>8400000000</v>
      </c>
      <c r="E14" s="52">
        <f>4000000000+2400000000+2000000000</f>
        <v>8400000000</v>
      </c>
      <c r="F14" s="14">
        <f t="shared" si="0"/>
        <v>1</v>
      </c>
    </row>
    <row r="15" spans="1:6" s="11" customFormat="1" ht="33" customHeight="1">
      <c r="A15" s="66"/>
      <c r="B15" s="67" t="s">
        <v>146</v>
      </c>
      <c r="C15" s="70" t="s">
        <v>147</v>
      </c>
      <c r="D15" s="52">
        <v>5000000000</v>
      </c>
      <c r="E15" s="52">
        <f>2683805230+1361450000+410625000</f>
        <v>4455880230</v>
      </c>
      <c r="F15" s="14">
        <f t="shared" si="0"/>
        <v>0.891176046</v>
      </c>
    </row>
    <row r="16" spans="1:6" s="13" customFormat="1" ht="33" customHeight="1">
      <c r="A16" s="66"/>
      <c r="B16" s="67" t="s">
        <v>3</v>
      </c>
      <c r="C16" s="83" t="s">
        <v>138</v>
      </c>
      <c r="D16" s="52">
        <v>103000000000</v>
      </c>
      <c r="E16" s="52">
        <f>40745000000+14427042408+861255000</f>
        <v>56033297408</v>
      </c>
      <c r="F16" s="14">
        <f t="shared" si="0"/>
        <v>0.5440125961941747</v>
      </c>
    </row>
    <row r="17" spans="1:6" s="11" customFormat="1" ht="42" customHeight="1">
      <c r="A17" s="66"/>
      <c r="B17" s="67" t="s">
        <v>193</v>
      </c>
      <c r="C17" s="83" t="s">
        <v>152</v>
      </c>
      <c r="D17" s="52">
        <v>25000000000</v>
      </c>
      <c r="E17" s="58">
        <f>20632908550+1981131900+31439450+7294000+9690000+232359000</f>
        <v>22894822900</v>
      </c>
      <c r="F17" s="14">
        <f t="shared" si="0"/>
        <v>0.915792916</v>
      </c>
    </row>
    <row r="18" spans="1:6" s="11" customFormat="1" ht="42" customHeight="1">
      <c r="A18" s="66"/>
      <c r="B18" s="67" t="s">
        <v>254</v>
      </c>
      <c r="C18" s="83" t="s">
        <v>152</v>
      </c>
      <c r="D18" s="52">
        <v>5000000000</v>
      </c>
      <c r="E18" s="52"/>
      <c r="F18" s="14">
        <f t="shared" si="0"/>
        <v>0</v>
      </c>
    </row>
    <row r="19" spans="1:6" s="11" customFormat="1" ht="33" customHeight="1">
      <c r="A19" s="66"/>
      <c r="B19" s="67" t="s">
        <v>254</v>
      </c>
      <c r="C19" s="83" t="s">
        <v>149</v>
      </c>
      <c r="D19" s="52">
        <v>2000000000</v>
      </c>
      <c r="E19" s="52"/>
      <c r="F19" s="14">
        <f t="shared" si="0"/>
        <v>0</v>
      </c>
    </row>
    <row r="20" spans="1:6" s="11" customFormat="1" ht="33" customHeight="1">
      <c r="A20" s="66"/>
      <c r="B20" s="67" t="s">
        <v>254</v>
      </c>
      <c r="C20" s="70" t="s">
        <v>147</v>
      </c>
      <c r="D20" s="52">
        <v>3000000000</v>
      </c>
      <c r="E20" s="52"/>
      <c r="F20" s="14">
        <f t="shared" si="0"/>
        <v>0</v>
      </c>
    </row>
    <row r="21" spans="1:6" s="11" customFormat="1" ht="33" customHeight="1">
      <c r="A21" s="66"/>
      <c r="B21" s="67" t="s">
        <v>256</v>
      </c>
      <c r="C21" s="70" t="s">
        <v>147</v>
      </c>
      <c r="D21" s="52">
        <v>13400000000</v>
      </c>
      <c r="E21" s="52">
        <v>13400000000</v>
      </c>
      <c r="F21" s="14">
        <f t="shared" si="0"/>
        <v>1</v>
      </c>
    </row>
    <row r="22" spans="1:6" s="11" customFormat="1" ht="33" customHeight="1">
      <c r="A22" s="66"/>
      <c r="B22" s="67" t="s">
        <v>255</v>
      </c>
      <c r="C22" s="70" t="s">
        <v>147</v>
      </c>
      <c r="D22" s="52">
        <v>9000000000</v>
      </c>
      <c r="E22" s="52"/>
      <c r="F22" s="14">
        <f t="shared" si="0"/>
        <v>0</v>
      </c>
    </row>
    <row r="23" spans="1:6" s="10" customFormat="1" ht="19.5" customHeight="1">
      <c r="A23" s="66">
        <v>2</v>
      </c>
      <c r="B23" s="71" t="s">
        <v>5</v>
      </c>
      <c r="C23" s="72"/>
      <c r="D23" s="53">
        <f>D24</f>
        <v>1000000000</v>
      </c>
      <c r="E23" s="53">
        <f>E24</f>
        <v>1000000000</v>
      </c>
      <c r="F23" s="18">
        <f t="shared" si="0"/>
        <v>1</v>
      </c>
    </row>
    <row r="24" spans="1:6" s="15" customFormat="1" ht="36.75" customHeight="1">
      <c r="A24" s="66"/>
      <c r="B24" s="67" t="s">
        <v>257</v>
      </c>
      <c r="C24" s="83" t="s">
        <v>149</v>
      </c>
      <c r="D24" s="52">
        <v>1000000000</v>
      </c>
      <c r="E24" s="52">
        <v>1000000000</v>
      </c>
      <c r="F24" s="14">
        <f t="shared" si="0"/>
        <v>1</v>
      </c>
    </row>
    <row r="25" spans="1:10" s="16" customFormat="1" ht="19.5" customHeight="1">
      <c r="A25" s="66">
        <v>3</v>
      </c>
      <c r="B25" s="68" t="s">
        <v>258</v>
      </c>
      <c r="C25" s="71"/>
      <c r="D25" s="53">
        <f>SUM(D26:D28)</f>
        <v>3500000000</v>
      </c>
      <c r="E25" s="53">
        <f>SUM(E26:E28)</f>
        <v>3500000000</v>
      </c>
      <c r="F25" s="18">
        <f t="shared" si="0"/>
        <v>1</v>
      </c>
      <c r="G25" s="11"/>
      <c r="H25" s="11"/>
      <c r="I25" s="11"/>
      <c r="J25" s="11"/>
    </row>
    <row r="26" spans="1:6" s="17" customFormat="1" ht="27.75" customHeight="1">
      <c r="A26" s="69"/>
      <c r="B26" s="70" t="s">
        <v>259</v>
      </c>
      <c r="C26" s="83" t="s">
        <v>149</v>
      </c>
      <c r="D26" s="52">
        <v>1000000000</v>
      </c>
      <c r="E26" s="52">
        <v>1000000000</v>
      </c>
      <c r="F26" s="14">
        <f t="shared" si="0"/>
        <v>1</v>
      </c>
    </row>
    <row r="27" spans="1:6" s="17" customFormat="1" ht="27.75" customHeight="1">
      <c r="A27" s="69"/>
      <c r="B27" s="70" t="s">
        <v>259</v>
      </c>
      <c r="C27" s="83" t="s">
        <v>151</v>
      </c>
      <c r="D27" s="52">
        <v>1500000000</v>
      </c>
      <c r="E27" s="52">
        <v>1500000000</v>
      </c>
      <c r="F27" s="14">
        <f t="shared" si="0"/>
        <v>1</v>
      </c>
    </row>
    <row r="28" spans="1:6" s="17" customFormat="1" ht="29.25" customHeight="1">
      <c r="A28" s="69"/>
      <c r="B28" s="70" t="s">
        <v>260</v>
      </c>
      <c r="C28" s="90" t="s">
        <v>10</v>
      </c>
      <c r="D28" s="52">
        <v>1000000000</v>
      </c>
      <c r="E28" s="52">
        <v>1000000000</v>
      </c>
      <c r="F28" s="14">
        <f t="shared" si="0"/>
        <v>1</v>
      </c>
    </row>
    <row r="29" spans="1:6" s="11" customFormat="1" ht="19.5" customHeight="1">
      <c r="A29" s="66">
        <v>4</v>
      </c>
      <c r="B29" s="68" t="s">
        <v>7</v>
      </c>
      <c r="C29" s="71"/>
      <c r="D29" s="53">
        <f>D30</f>
        <v>1500000000</v>
      </c>
      <c r="E29" s="53">
        <f>E30</f>
        <v>1500000000</v>
      </c>
      <c r="F29" s="14">
        <f t="shared" si="0"/>
        <v>1</v>
      </c>
    </row>
    <row r="30" spans="1:6" s="11" customFormat="1" ht="25.5" customHeight="1">
      <c r="A30" s="69"/>
      <c r="B30" s="70" t="s">
        <v>264</v>
      </c>
      <c r="C30" s="83" t="s">
        <v>151</v>
      </c>
      <c r="D30" s="52">
        <v>1500000000</v>
      </c>
      <c r="E30" s="52">
        <v>1500000000</v>
      </c>
      <c r="F30" s="14">
        <f t="shared" si="0"/>
        <v>1</v>
      </c>
    </row>
    <row r="31" spans="1:6" s="11" customFormat="1" ht="19.5" customHeight="1">
      <c r="A31" s="66">
        <v>5</v>
      </c>
      <c r="B31" s="68" t="s">
        <v>266</v>
      </c>
      <c r="C31" s="71"/>
      <c r="D31" s="53">
        <f>D32</f>
        <v>1000000000</v>
      </c>
      <c r="E31" s="53">
        <f>E32</f>
        <v>1000000000</v>
      </c>
      <c r="F31" s="18">
        <f t="shared" si="0"/>
        <v>1</v>
      </c>
    </row>
    <row r="32" spans="1:6" s="12" customFormat="1" ht="31.5" customHeight="1">
      <c r="A32" s="69"/>
      <c r="B32" s="82" t="s">
        <v>267</v>
      </c>
      <c r="C32" s="90" t="s">
        <v>10</v>
      </c>
      <c r="D32" s="52">
        <v>1000000000</v>
      </c>
      <c r="E32" s="52">
        <v>1000000000</v>
      </c>
      <c r="F32" s="14">
        <f t="shared" si="0"/>
        <v>1</v>
      </c>
    </row>
    <row r="33" spans="1:6" s="11" customFormat="1" ht="19.5" customHeight="1">
      <c r="A33" s="66">
        <v>6</v>
      </c>
      <c r="B33" s="71" t="s">
        <v>8</v>
      </c>
      <c r="C33" s="71"/>
      <c r="D33" s="53">
        <f>D34</f>
        <v>1000000000</v>
      </c>
      <c r="E33" s="53">
        <f>E34</f>
        <v>1000000000</v>
      </c>
      <c r="F33" s="18">
        <v>1</v>
      </c>
    </row>
    <row r="34" spans="1:6" s="20" customFormat="1" ht="30.75" customHeight="1">
      <c r="A34" s="66"/>
      <c r="B34" s="82" t="s">
        <v>265</v>
      </c>
      <c r="C34" s="90" t="s">
        <v>10</v>
      </c>
      <c r="D34" s="54">
        <v>1000000000</v>
      </c>
      <c r="E34" s="54">
        <v>1000000000</v>
      </c>
      <c r="F34" s="19">
        <f t="shared" si="0"/>
        <v>1</v>
      </c>
    </row>
    <row r="35" spans="1:10" s="16" customFormat="1" ht="19.5" customHeight="1">
      <c r="A35" s="66">
        <v>7</v>
      </c>
      <c r="B35" s="72" t="s">
        <v>9</v>
      </c>
      <c r="C35" s="71"/>
      <c r="D35" s="53">
        <f>D36</f>
        <v>700000000</v>
      </c>
      <c r="E35" s="53">
        <f>E36</f>
        <v>700000000</v>
      </c>
      <c r="F35" s="18">
        <f>F36</f>
        <v>1</v>
      </c>
      <c r="G35" s="11"/>
      <c r="H35" s="11"/>
      <c r="I35" s="11"/>
      <c r="J35" s="11"/>
    </row>
    <row r="36" spans="1:6" s="17" customFormat="1" ht="36.75" customHeight="1">
      <c r="A36" s="66"/>
      <c r="B36" s="67" t="s">
        <v>160</v>
      </c>
      <c r="C36" s="90" t="s">
        <v>10</v>
      </c>
      <c r="D36" s="52">
        <v>700000000</v>
      </c>
      <c r="E36" s="52">
        <v>700000000</v>
      </c>
      <c r="F36" s="14">
        <f t="shared" si="0"/>
        <v>1</v>
      </c>
    </row>
    <row r="37" spans="1:10" s="16" customFormat="1" ht="19.5" customHeight="1">
      <c r="A37" s="66">
        <v>8</v>
      </c>
      <c r="B37" s="68" t="s">
        <v>11</v>
      </c>
      <c r="C37" s="72"/>
      <c r="D37" s="53">
        <f>D38</f>
        <v>1000000000</v>
      </c>
      <c r="E37" s="53">
        <f>E38</f>
        <v>1000000000</v>
      </c>
      <c r="F37" s="18">
        <f>F38</f>
        <v>1</v>
      </c>
      <c r="G37" s="11"/>
      <c r="H37" s="11"/>
      <c r="I37" s="11"/>
      <c r="J37" s="11"/>
    </row>
    <row r="38" spans="1:10" s="21" customFormat="1" ht="30.75" customHeight="1">
      <c r="A38" s="69"/>
      <c r="B38" s="70" t="s">
        <v>263</v>
      </c>
      <c r="C38" s="83" t="s">
        <v>149</v>
      </c>
      <c r="D38" s="52">
        <v>1000000000</v>
      </c>
      <c r="E38" s="52">
        <v>1000000000</v>
      </c>
      <c r="F38" s="14">
        <f t="shared" si="0"/>
        <v>1</v>
      </c>
      <c r="G38" s="12"/>
      <c r="H38" s="12"/>
      <c r="I38" s="12"/>
      <c r="J38" s="12"/>
    </row>
    <row r="39" spans="1:6" s="11" customFormat="1" ht="19.5" customHeight="1">
      <c r="A39" s="66">
        <v>9</v>
      </c>
      <c r="B39" s="71" t="s">
        <v>268</v>
      </c>
      <c r="C39" s="71"/>
      <c r="D39" s="53">
        <f>D40</f>
        <v>600000000</v>
      </c>
      <c r="E39" s="53">
        <f>E40</f>
        <v>600000000</v>
      </c>
      <c r="F39" s="18">
        <f>F40</f>
        <v>1</v>
      </c>
    </row>
    <row r="40" spans="1:10" s="21" customFormat="1" ht="36.75" customHeight="1">
      <c r="A40" s="66"/>
      <c r="B40" s="67" t="s">
        <v>273</v>
      </c>
      <c r="C40" s="90" t="s">
        <v>10</v>
      </c>
      <c r="D40" s="52">
        <v>600000000</v>
      </c>
      <c r="E40" s="52">
        <v>600000000</v>
      </c>
      <c r="F40" s="14">
        <f t="shared" si="0"/>
        <v>1</v>
      </c>
      <c r="G40" s="12"/>
      <c r="H40" s="12"/>
      <c r="I40" s="12"/>
      <c r="J40" s="12"/>
    </row>
    <row r="41" spans="1:10" s="16" customFormat="1" ht="19.5" customHeight="1">
      <c r="A41" s="66">
        <v>9</v>
      </c>
      <c r="B41" s="72" t="s">
        <v>12</v>
      </c>
      <c r="C41" s="68"/>
      <c r="D41" s="53">
        <f>D42</f>
        <v>1000000000</v>
      </c>
      <c r="E41" s="53">
        <f>E42</f>
        <v>1000000000</v>
      </c>
      <c r="F41" s="18">
        <f>F42</f>
        <v>1</v>
      </c>
      <c r="G41" s="11"/>
      <c r="H41" s="11"/>
      <c r="I41" s="11"/>
      <c r="J41" s="11"/>
    </row>
    <row r="42" spans="1:6" s="17" customFormat="1" ht="33" customHeight="1">
      <c r="A42" s="66"/>
      <c r="B42" s="67" t="s">
        <v>270</v>
      </c>
      <c r="C42" s="90" t="s">
        <v>10</v>
      </c>
      <c r="D42" s="52">
        <v>1000000000</v>
      </c>
      <c r="E42" s="52">
        <v>1000000000</v>
      </c>
      <c r="F42" s="14">
        <f t="shared" si="0"/>
        <v>1</v>
      </c>
    </row>
    <row r="43" spans="1:10" s="16" customFormat="1" ht="19.5" customHeight="1">
      <c r="A43" s="66">
        <v>10</v>
      </c>
      <c r="B43" s="71" t="s">
        <v>13</v>
      </c>
      <c r="C43" s="72"/>
      <c r="D43" s="53">
        <f>D44</f>
        <v>1000000000</v>
      </c>
      <c r="E43" s="53">
        <f>E44</f>
        <v>1000000000</v>
      </c>
      <c r="F43" s="18">
        <f t="shared" si="0"/>
        <v>1</v>
      </c>
      <c r="G43" s="11"/>
      <c r="H43" s="11"/>
      <c r="I43" s="11"/>
      <c r="J43" s="11"/>
    </row>
    <row r="44" spans="1:6" s="11" customFormat="1" ht="28.5" customHeight="1">
      <c r="A44" s="66"/>
      <c r="B44" s="67" t="s">
        <v>262</v>
      </c>
      <c r="C44" s="83" t="s">
        <v>149</v>
      </c>
      <c r="D44" s="52">
        <v>1000000000</v>
      </c>
      <c r="E44" s="52">
        <v>1000000000</v>
      </c>
      <c r="F44" s="14">
        <f t="shared" si="0"/>
        <v>1</v>
      </c>
    </row>
    <row r="45" spans="1:6" s="11" customFormat="1" ht="19.5" customHeight="1">
      <c r="A45" s="66">
        <v>11</v>
      </c>
      <c r="B45" s="68" t="s">
        <v>269</v>
      </c>
      <c r="C45" s="72"/>
      <c r="D45" s="53">
        <f>D46</f>
        <v>700000000</v>
      </c>
      <c r="E45" s="53">
        <f>E46</f>
        <v>700000000</v>
      </c>
      <c r="F45" s="18">
        <f t="shared" si="0"/>
        <v>1</v>
      </c>
    </row>
    <row r="46" spans="1:10" s="16" customFormat="1" ht="34.5" customHeight="1">
      <c r="A46" s="69"/>
      <c r="B46" s="67" t="s">
        <v>271</v>
      </c>
      <c r="C46" s="90" t="s">
        <v>10</v>
      </c>
      <c r="D46" s="52">
        <v>700000000</v>
      </c>
      <c r="E46" s="52">
        <v>700000000</v>
      </c>
      <c r="F46" s="14">
        <f t="shared" si="0"/>
        <v>1</v>
      </c>
      <c r="G46" s="11"/>
      <c r="H46" s="11"/>
      <c r="I46" s="11"/>
      <c r="J46" s="11"/>
    </row>
    <row r="47" spans="1:6" s="11" customFormat="1" ht="19.5" customHeight="1">
      <c r="A47" s="66">
        <v>12</v>
      </c>
      <c r="B47" s="68" t="s">
        <v>272</v>
      </c>
      <c r="C47" s="68"/>
      <c r="D47" s="53">
        <f>D48</f>
        <v>1000000000</v>
      </c>
      <c r="E47" s="53">
        <f>E48</f>
        <v>1000000000</v>
      </c>
      <c r="F47" s="18">
        <f t="shared" si="0"/>
        <v>1</v>
      </c>
    </row>
    <row r="48" spans="1:10" s="16" customFormat="1" ht="31.5" customHeight="1">
      <c r="A48" s="69"/>
      <c r="B48" s="67" t="s">
        <v>274</v>
      </c>
      <c r="C48" s="90" t="s">
        <v>10</v>
      </c>
      <c r="D48" s="52">
        <v>1000000000</v>
      </c>
      <c r="E48" s="52">
        <v>1000000000</v>
      </c>
      <c r="F48" s="14">
        <f t="shared" si="0"/>
        <v>1</v>
      </c>
      <c r="G48" s="11"/>
      <c r="H48" s="11"/>
      <c r="I48" s="11"/>
      <c r="J48" s="11"/>
    </row>
    <row r="49" spans="1:6" s="11" customFormat="1" ht="19.5" customHeight="1">
      <c r="A49" s="66">
        <v>13</v>
      </c>
      <c r="B49" s="71" t="s">
        <v>6</v>
      </c>
      <c r="C49" s="71"/>
      <c r="D49" s="53">
        <f>D50+D51</f>
        <v>2000000000</v>
      </c>
      <c r="E49" s="53">
        <f>E50+E51</f>
        <v>2000000000</v>
      </c>
      <c r="F49" s="18">
        <f t="shared" si="0"/>
        <v>1</v>
      </c>
    </row>
    <row r="50" spans="1:6" s="11" customFormat="1" ht="36" customHeight="1">
      <c r="A50" s="66"/>
      <c r="B50" s="67" t="s">
        <v>275</v>
      </c>
      <c r="C50" s="90" t="s">
        <v>10</v>
      </c>
      <c r="D50" s="52">
        <v>1000000000</v>
      </c>
      <c r="E50" s="52">
        <v>1000000000</v>
      </c>
      <c r="F50" s="14">
        <f t="shared" si="0"/>
        <v>1</v>
      </c>
    </row>
    <row r="51" spans="1:6" s="13" customFormat="1" ht="24.75" customHeight="1">
      <c r="A51" s="66"/>
      <c r="B51" s="67" t="s">
        <v>261</v>
      </c>
      <c r="C51" s="83" t="s">
        <v>149</v>
      </c>
      <c r="D51" s="52">
        <v>1000000000</v>
      </c>
      <c r="E51" s="52">
        <v>1000000000</v>
      </c>
      <c r="F51" s="14">
        <f t="shared" si="0"/>
        <v>1</v>
      </c>
    </row>
    <row r="52" spans="1:6" s="10" customFormat="1" ht="19.5" customHeight="1">
      <c r="A52" s="73" t="s">
        <v>114</v>
      </c>
      <c r="B52" s="74" t="s">
        <v>115</v>
      </c>
      <c r="C52" s="91"/>
      <c r="D52" s="55">
        <f>D53+D65+D67+D69+D71+D73+D75+D77+D79+D81+D83</f>
        <v>71666608200</v>
      </c>
      <c r="E52" s="55">
        <f>E53+E65+E67+E69+E71+E73+E75+E77+E79+E81+E83</f>
        <v>60141344000</v>
      </c>
      <c r="F52" s="22">
        <f>E52/D52</f>
        <v>0.8391822288026183</v>
      </c>
    </row>
    <row r="53" spans="1:6" s="11" customFormat="1" ht="19.5" customHeight="1">
      <c r="A53" s="66">
        <v>1</v>
      </c>
      <c r="B53" s="75" t="s">
        <v>14</v>
      </c>
      <c r="C53" s="71"/>
      <c r="D53" s="53">
        <f>SUM(D54:D64)</f>
        <v>63666608200</v>
      </c>
      <c r="E53" s="53">
        <f>SUM(E54:E64)</f>
        <v>52141344000</v>
      </c>
      <c r="F53" s="18">
        <f aca="true" t="shared" si="1" ref="F53:F65">E53/D53</f>
        <v>0.8189747416134538</v>
      </c>
    </row>
    <row r="54" spans="1:6" s="13" customFormat="1" ht="36.75" customHeight="1">
      <c r="A54" s="66"/>
      <c r="B54" s="67" t="s">
        <v>194</v>
      </c>
      <c r="C54" s="70" t="s">
        <v>148</v>
      </c>
      <c r="D54" s="52">
        <v>666608200</v>
      </c>
      <c r="E54" s="128"/>
      <c r="F54" s="14">
        <v>0</v>
      </c>
    </row>
    <row r="55" spans="1:6" s="11" customFormat="1" ht="54" customHeight="1">
      <c r="A55" s="66"/>
      <c r="B55" s="67" t="s">
        <v>195</v>
      </c>
      <c r="C55" s="70" t="s">
        <v>147</v>
      </c>
      <c r="D55" s="52">
        <v>7000000000</v>
      </c>
      <c r="E55" s="52">
        <v>7000000000</v>
      </c>
      <c r="F55" s="14">
        <f t="shared" si="1"/>
        <v>1</v>
      </c>
    </row>
    <row r="56" spans="1:6" s="11" customFormat="1" ht="36.75" customHeight="1">
      <c r="A56" s="66"/>
      <c r="B56" s="67" t="s">
        <v>196</v>
      </c>
      <c r="C56" s="70" t="s">
        <v>147</v>
      </c>
      <c r="D56" s="52">
        <v>4000000000</v>
      </c>
      <c r="E56" s="52">
        <f>2130000000+1870000000</f>
        <v>4000000000</v>
      </c>
      <c r="F56" s="14">
        <f t="shared" si="1"/>
        <v>1</v>
      </c>
    </row>
    <row r="57" spans="1:6" s="11" customFormat="1" ht="50.25" customHeight="1">
      <c r="A57" s="66"/>
      <c r="B57" s="67" t="s">
        <v>249</v>
      </c>
      <c r="C57" s="83" t="s">
        <v>400</v>
      </c>
      <c r="D57" s="52">
        <v>30000000000</v>
      </c>
      <c r="E57" s="52">
        <v>19141344000</v>
      </c>
      <c r="F57" s="14">
        <f t="shared" si="1"/>
        <v>0.6380448</v>
      </c>
    </row>
    <row r="58" spans="1:6" s="11" customFormat="1" ht="44.25" customHeight="1">
      <c r="A58" s="66"/>
      <c r="B58" s="67" t="s">
        <v>277</v>
      </c>
      <c r="C58" s="70" t="s">
        <v>147</v>
      </c>
      <c r="D58" s="52">
        <v>2000000000</v>
      </c>
      <c r="E58" s="52">
        <v>2000000000</v>
      </c>
      <c r="F58" s="14">
        <f t="shared" si="1"/>
        <v>1</v>
      </c>
    </row>
    <row r="59" spans="1:6" s="11" customFormat="1" ht="39.75" customHeight="1">
      <c r="A59" s="66"/>
      <c r="B59" s="67" t="s">
        <v>277</v>
      </c>
      <c r="C59" s="70" t="s">
        <v>149</v>
      </c>
      <c r="D59" s="52">
        <v>3000000000</v>
      </c>
      <c r="E59" s="52">
        <v>3000000000</v>
      </c>
      <c r="F59" s="14">
        <f t="shared" si="1"/>
        <v>1</v>
      </c>
    </row>
    <row r="60" spans="1:6" s="11" customFormat="1" ht="36.75" customHeight="1">
      <c r="A60" s="66"/>
      <c r="B60" s="67" t="s">
        <v>278</v>
      </c>
      <c r="C60" s="70" t="s">
        <v>147</v>
      </c>
      <c r="D60" s="52">
        <v>10000000000</v>
      </c>
      <c r="E60" s="52">
        <v>10000000000</v>
      </c>
      <c r="F60" s="14">
        <f t="shared" si="1"/>
        <v>1</v>
      </c>
    </row>
    <row r="61" spans="1:6" s="11" customFormat="1" ht="36.75" customHeight="1">
      <c r="A61" s="66"/>
      <c r="B61" s="67" t="s">
        <v>276</v>
      </c>
      <c r="C61" s="83" t="s">
        <v>149</v>
      </c>
      <c r="D61" s="52">
        <v>4000000000</v>
      </c>
      <c r="E61" s="52">
        <v>4000000000</v>
      </c>
      <c r="F61" s="14">
        <f t="shared" si="1"/>
        <v>1</v>
      </c>
    </row>
    <row r="62" spans="1:6" s="11" customFormat="1" ht="36.75" customHeight="1">
      <c r="A62" s="66"/>
      <c r="B62" s="67" t="s">
        <v>279</v>
      </c>
      <c r="C62" s="83" t="s">
        <v>149</v>
      </c>
      <c r="D62" s="52">
        <v>1000000000</v>
      </c>
      <c r="E62" s="52">
        <v>1000000000</v>
      </c>
      <c r="F62" s="14">
        <f t="shared" si="1"/>
        <v>1</v>
      </c>
    </row>
    <row r="63" spans="1:6" s="11" customFormat="1" ht="36.75" customHeight="1">
      <c r="A63" s="66"/>
      <c r="B63" s="67" t="s">
        <v>280</v>
      </c>
      <c r="C63" s="83" t="s">
        <v>149</v>
      </c>
      <c r="D63" s="52">
        <v>1000000000</v>
      </c>
      <c r="E63" s="52">
        <v>1000000000</v>
      </c>
      <c r="F63" s="14">
        <f t="shared" si="1"/>
        <v>1</v>
      </c>
    </row>
    <row r="64" spans="1:6" s="11" customFormat="1" ht="36.75" customHeight="1">
      <c r="A64" s="66"/>
      <c r="B64" s="67" t="s">
        <v>281</v>
      </c>
      <c r="C64" s="83" t="s">
        <v>149</v>
      </c>
      <c r="D64" s="52">
        <v>1000000000</v>
      </c>
      <c r="E64" s="52">
        <v>1000000000</v>
      </c>
      <c r="F64" s="14">
        <f t="shared" si="1"/>
        <v>1</v>
      </c>
    </row>
    <row r="65" spans="1:6" s="11" customFormat="1" ht="19.5" customHeight="1">
      <c r="A65" s="66">
        <v>2</v>
      </c>
      <c r="B65" s="75" t="s">
        <v>15</v>
      </c>
      <c r="C65" s="71"/>
      <c r="D65" s="53">
        <f>D66</f>
        <v>524000000</v>
      </c>
      <c r="E65" s="53">
        <f>E66</f>
        <v>524000000</v>
      </c>
      <c r="F65" s="18">
        <f t="shared" si="1"/>
        <v>1</v>
      </c>
    </row>
    <row r="66" spans="1:6" s="11" customFormat="1" ht="36.75" customHeight="1">
      <c r="A66" s="66"/>
      <c r="B66" s="67" t="s">
        <v>425</v>
      </c>
      <c r="C66" s="90" t="s">
        <v>10</v>
      </c>
      <c r="D66" s="52">
        <v>524000000</v>
      </c>
      <c r="E66" s="52">
        <v>524000000</v>
      </c>
      <c r="F66" s="14">
        <f>E66/D66</f>
        <v>1</v>
      </c>
    </row>
    <row r="67" spans="1:6" s="11" customFormat="1" ht="19.5" customHeight="1">
      <c r="A67" s="66">
        <v>3</v>
      </c>
      <c r="B67" s="75" t="s">
        <v>16</v>
      </c>
      <c r="C67" s="72"/>
      <c r="D67" s="53">
        <f>D68</f>
        <v>469000000</v>
      </c>
      <c r="E67" s="53">
        <f>E68</f>
        <v>469000000</v>
      </c>
      <c r="F67" s="18">
        <f>F68</f>
        <v>1</v>
      </c>
    </row>
    <row r="68" spans="1:6" s="23" customFormat="1" ht="54.75" customHeight="1">
      <c r="A68" s="66"/>
      <c r="B68" s="67" t="s">
        <v>197</v>
      </c>
      <c r="C68" s="90" t="s">
        <v>10</v>
      </c>
      <c r="D68" s="52">
        <v>469000000</v>
      </c>
      <c r="E68" s="52">
        <v>469000000</v>
      </c>
      <c r="F68" s="14">
        <f>E68/D68</f>
        <v>1</v>
      </c>
    </row>
    <row r="69" spans="1:6" s="11" customFormat="1" ht="19.5" customHeight="1">
      <c r="A69" s="66">
        <v>4</v>
      </c>
      <c r="B69" s="75" t="s">
        <v>17</v>
      </c>
      <c r="C69" s="72"/>
      <c r="D69" s="53">
        <f>D70</f>
        <v>1073000000</v>
      </c>
      <c r="E69" s="53">
        <f>E70</f>
        <v>1073000000</v>
      </c>
      <c r="F69" s="18">
        <f>E69/D69</f>
        <v>1</v>
      </c>
    </row>
    <row r="70" spans="1:6" s="12" customFormat="1" ht="54" customHeight="1">
      <c r="A70" s="69"/>
      <c r="B70" s="109" t="s">
        <v>165</v>
      </c>
      <c r="C70" s="90" t="s">
        <v>10</v>
      </c>
      <c r="D70" s="52">
        <v>1073000000</v>
      </c>
      <c r="E70" s="52">
        <v>1073000000</v>
      </c>
      <c r="F70" s="14">
        <f>E70/D70</f>
        <v>1</v>
      </c>
    </row>
    <row r="71" spans="1:6" s="11" customFormat="1" ht="19.5" customHeight="1">
      <c r="A71" s="66">
        <v>5</v>
      </c>
      <c r="B71" s="76" t="s">
        <v>18</v>
      </c>
      <c r="C71" s="71"/>
      <c r="D71" s="53">
        <f>D72</f>
        <v>529000000</v>
      </c>
      <c r="E71" s="53">
        <f>E72</f>
        <v>529000000</v>
      </c>
      <c r="F71" s="18">
        <f>E71/D71</f>
        <v>1</v>
      </c>
    </row>
    <row r="72" spans="1:6" s="11" customFormat="1" ht="32.25" customHeight="1">
      <c r="A72" s="66"/>
      <c r="B72" s="67" t="s">
        <v>166</v>
      </c>
      <c r="C72" s="90" t="s">
        <v>10</v>
      </c>
      <c r="D72" s="52">
        <v>529000000</v>
      </c>
      <c r="E72" s="52">
        <v>529000000</v>
      </c>
      <c r="F72" s="14">
        <f>E72/D72</f>
        <v>1</v>
      </c>
    </row>
    <row r="73" spans="1:6" s="11" customFormat="1" ht="19.5" customHeight="1">
      <c r="A73" s="77">
        <v>6</v>
      </c>
      <c r="B73" s="75" t="s">
        <v>19</v>
      </c>
      <c r="C73" s="92"/>
      <c r="D73" s="56">
        <f>D74</f>
        <v>1667000000</v>
      </c>
      <c r="E73" s="56">
        <f>E74</f>
        <v>1667000000</v>
      </c>
      <c r="F73" s="24">
        <f>F74</f>
        <v>1</v>
      </c>
    </row>
    <row r="74" spans="1:10" s="16" customFormat="1" ht="33" customHeight="1">
      <c r="A74" s="66"/>
      <c r="B74" s="67" t="s">
        <v>282</v>
      </c>
      <c r="C74" s="70" t="s">
        <v>10</v>
      </c>
      <c r="D74" s="52">
        <v>1667000000</v>
      </c>
      <c r="E74" s="52">
        <v>1667000000</v>
      </c>
      <c r="F74" s="14">
        <f>E74/D74</f>
        <v>1</v>
      </c>
      <c r="G74" s="11"/>
      <c r="H74" s="11"/>
      <c r="I74" s="11"/>
      <c r="J74" s="11"/>
    </row>
    <row r="75" spans="1:10" s="16" customFormat="1" ht="19.5" customHeight="1">
      <c r="A75" s="66">
        <v>7</v>
      </c>
      <c r="B75" s="78" t="s">
        <v>20</v>
      </c>
      <c r="C75" s="68"/>
      <c r="D75" s="53">
        <f>D76</f>
        <v>500000000</v>
      </c>
      <c r="E75" s="53">
        <f>E76</f>
        <v>500000000</v>
      </c>
      <c r="F75" s="18">
        <f>F76</f>
        <v>1</v>
      </c>
      <c r="G75" s="11"/>
      <c r="H75" s="11"/>
      <c r="I75" s="11"/>
      <c r="J75" s="11"/>
    </row>
    <row r="76" spans="1:6" s="11" customFormat="1" ht="37.5" customHeight="1">
      <c r="A76" s="79"/>
      <c r="B76" s="80" t="s">
        <v>283</v>
      </c>
      <c r="C76" s="70" t="s">
        <v>10</v>
      </c>
      <c r="D76" s="57">
        <v>500000000</v>
      </c>
      <c r="E76" s="57">
        <v>500000000</v>
      </c>
      <c r="F76" s="14">
        <f>E76/D76</f>
        <v>1</v>
      </c>
    </row>
    <row r="77" spans="1:6" s="11" customFormat="1" ht="19.5" customHeight="1">
      <c r="A77" s="77">
        <v>8</v>
      </c>
      <c r="B77" s="75" t="s">
        <v>21</v>
      </c>
      <c r="C77" s="92"/>
      <c r="D77" s="56">
        <f>D78</f>
        <v>434000000</v>
      </c>
      <c r="E77" s="56">
        <f>E78</f>
        <v>434000000</v>
      </c>
      <c r="F77" s="24">
        <f>F78</f>
        <v>1</v>
      </c>
    </row>
    <row r="78" spans="1:10" s="16" customFormat="1" ht="35.25" customHeight="1">
      <c r="A78" s="66"/>
      <c r="B78" s="67" t="s">
        <v>161</v>
      </c>
      <c r="C78" s="90" t="s">
        <v>10</v>
      </c>
      <c r="D78" s="52">
        <v>434000000</v>
      </c>
      <c r="E78" s="52">
        <v>434000000</v>
      </c>
      <c r="F78" s="14">
        <f>E78/D78</f>
        <v>1</v>
      </c>
      <c r="G78" s="11"/>
      <c r="H78" s="11"/>
      <c r="I78" s="11"/>
      <c r="J78" s="11"/>
    </row>
    <row r="79" spans="1:10" s="16" customFormat="1" ht="19.5" customHeight="1">
      <c r="A79" s="66">
        <v>9</v>
      </c>
      <c r="B79" s="75" t="s">
        <v>284</v>
      </c>
      <c r="C79" s="72"/>
      <c r="D79" s="53">
        <f>D80</f>
        <v>1613000000</v>
      </c>
      <c r="E79" s="53">
        <f>E80</f>
        <v>1613000000</v>
      </c>
      <c r="F79" s="18">
        <f>F80</f>
        <v>1</v>
      </c>
      <c r="G79" s="11"/>
      <c r="H79" s="11"/>
      <c r="I79" s="11"/>
      <c r="J79" s="11"/>
    </row>
    <row r="80" spans="1:6" s="12" customFormat="1" ht="36.75" customHeight="1">
      <c r="A80" s="66"/>
      <c r="B80" s="67" t="s">
        <v>285</v>
      </c>
      <c r="C80" s="90" t="s">
        <v>10</v>
      </c>
      <c r="D80" s="52">
        <v>1613000000</v>
      </c>
      <c r="E80" s="52">
        <v>1613000000</v>
      </c>
      <c r="F80" s="14">
        <f>E80/D80</f>
        <v>1</v>
      </c>
    </row>
    <row r="81" spans="1:6" s="11" customFormat="1" ht="19.5" customHeight="1">
      <c r="A81" s="66">
        <v>10</v>
      </c>
      <c r="B81" s="78" t="s">
        <v>286</v>
      </c>
      <c r="C81" s="68"/>
      <c r="D81" s="53">
        <f>D82</f>
        <v>691000000</v>
      </c>
      <c r="E81" s="53">
        <f>E82</f>
        <v>691000000</v>
      </c>
      <c r="F81" s="18">
        <f>F82</f>
        <v>1</v>
      </c>
    </row>
    <row r="82" spans="1:6" s="11" customFormat="1" ht="43.5" customHeight="1">
      <c r="A82" s="69"/>
      <c r="B82" s="67" t="s">
        <v>460</v>
      </c>
      <c r="C82" s="90" t="s">
        <v>10</v>
      </c>
      <c r="D82" s="52">
        <v>691000000</v>
      </c>
      <c r="E82" s="52">
        <v>691000000</v>
      </c>
      <c r="F82" s="14">
        <f>E82/D82</f>
        <v>1</v>
      </c>
    </row>
    <row r="83" spans="1:6" s="11" customFormat="1" ht="19.5" customHeight="1">
      <c r="A83" s="66">
        <v>11</v>
      </c>
      <c r="B83" s="78" t="s">
        <v>287</v>
      </c>
      <c r="C83" s="71"/>
      <c r="D83" s="53">
        <f>D84</f>
        <v>500000000</v>
      </c>
      <c r="E83" s="53">
        <f>E84</f>
        <v>500000000</v>
      </c>
      <c r="F83" s="18">
        <f>E83/D83</f>
        <v>1</v>
      </c>
    </row>
    <row r="84" spans="1:6" s="11" customFormat="1" ht="34.5" customHeight="1">
      <c r="A84" s="69"/>
      <c r="B84" s="67" t="s">
        <v>288</v>
      </c>
      <c r="C84" s="90" t="s">
        <v>10</v>
      </c>
      <c r="D84" s="52">
        <v>500000000</v>
      </c>
      <c r="E84" s="52">
        <v>500000000</v>
      </c>
      <c r="F84" s="14">
        <f>E84/D84</f>
        <v>1</v>
      </c>
    </row>
    <row r="85" spans="1:6" s="10" customFormat="1" ht="19.5" customHeight="1">
      <c r="A85" s="73" t="s">
        <v>116</v>
      </c>
      <c r="B85" s="74" t="s">
        <v>117</v>
      </c>
      <c r="C85" s="91"/>
      <c r="D85" s="55">
        <f>D86+D95+D98+D100+D103+D105+D107+D113+D109+D111</f>
        <v>29540169000</v>
      </c>
      <c r="E85" s="55">
        <f>E86+E95+E98+E100+E103+E105+E107+E113+E109+E111</f>
        <v>28280296541</v>
      </c>
      <c r="F85" s="22">
        <f aca="true" t="shared" si="2" ref="F85:F96">E85/D85</f>
        <v>0.9573505331333751</v>
      </c>
    </row>
    <row r="86" spans="1:6" s="11" customFormat="1" ht="19.5" customHeight="1">
      <c r="A86" s="66">
        <v>1</v>
      </c>
      <c r="B86" s="71" t="s">
        <v>22</v>
      </c>
      <c r="C86" s="68"/>
      <c r="D86" s="53">
        <f>SUM(D87:D94)</f>
        <v>19062000000</v>
      </c>
      <c r="E86" s="53">
        <f>SUM(E87:E94)</f>
        <v>18280296541</v>
      </c>
      <c r="F86" s="18">
        <f t="shared" si="2"/>
        <v>0.9589915297975029</v>
      </c>
    </row>
    <row r="87" spans="1:6" s="11" customFormat="1" ht="19.5" customHeight="1">
      <c r="A87" s="66"/>
      <c r="B87" s="67" t="s">
        <v>23</v>
      </c>
      <c r="C87" s="70" t="s">
        <v>147</v>
      </c>
      <c r="D87" s="52">
        <v>2000000000</v>
      </c>
      <c r="E87" s="52">
        <v>2000000000</v>
      </c>
      <c r="F87" s="14">
        <f t="shared" si="2"/>
        <v>1</v>
      </c>
    </row>
    <row r="88" spans="1:6" s="11" customFormat="1" ht="24.75" customHeight="1">
      <c r="A88" s="66"/>
      <c r="B88" s="67" t="s">
        <v>23</v>
      </c>
      <c r="C88" s="70" t="s">
        <v>149</v>
      </c>
      <c r="D88" s="52">
        <v>2000000000</v>
      </c>
      <c r="E88" s="52">
        <v>2000000000</v>
      </c>
      <c r="F88" s="14">
        <f t="shared" si="2"/>
        <v>1</v>
      </c>
    </row>
    <row r="89" spans="1:6" s="11" customFormat="1" ht="19.5" customHeight="1">
      <c r="A89" s="66"/>
      <c r="B89" s="67" t="s">
        <v>198</v>
      </c>
      <c r="C89" s="70" t="s">
        <v>147</v>
      </c>
      <c r="D89" s="52">
        <v>2600000000</v>
      </c>
      <c r="E89" s="52">
        <v>2600000000</v>
      </c>
      <c r="F89" s="14">
        <f t="shared" si="2"/>
        <v>1</v>
      </c>
    </row>
    <row r="90" spans="1:6" s="12" customFormat="1" ht="19.5" customHeight="1">
      <c r="A90" s="66"/>
      <c r="B90" s="67" t="s">
        <v>24</v>
      </c>
      <c r="C90" s="70" t="s">
        <v>147</v>
      </c>
      <c r="D90" s="52">
        <v>1500000000</v>
      </c>
      <c r="E90" s="52">
        <v>1500000000</v>
      </c>
      <c r="F90" s="14">
        <f t="shared" si="2"/>
        <v>1</v>
      </c>
    </row>
    <row r="91" spans="1:6" s="12" customFormat="1" ht="33.75" customHeight="1">
      <c r="A91" s="66"/>
      <c r="B91" s="67" t="s">
        <v>289</v>
      </c>
      <c r="C91" s="70" t="s">
        <v>147</v>
      </c>
      <c r="D91" s="52">
        <v>7000000000</v>
      </c>
      <c r="E91" s="52">
        <f>521382000+6478618000</f>
        <v>7000000000</v>
      </c>
      <c r="F91" s="14">
        <f t="shared" si="2"/>
        <v>1</v>
      </c>
    </row>
    <row r="92" spans="1:6" s="12" customFormat="1" ht="27" customHeight="1">
      <c r="A92" s="66"/>
      <c r="B92" s="67" t="s">
        <v>290</v>
      </c>
      <c r="C92" s="70" t="s">
        <v>149</v>
      </c>
      <c r="D92" s="52">
        <v>2800000000</v>
      </c>
      <c r="E92" s="52">
        <f>348410000+1770000000</f>
        <v>2118410000</v>
      </c>
      <c r="F92" s="14">
        <f t="shared" si="2"/>
        <v>0.756575</v>
      </c>
    </row>
    <row r="93" spans="1:6" s="12" customFormat="1" ht="45" customHeight="1">
      <c r="A93" s="66"/>
      <c r="B93" s="67" t="s">
        <v>444</v>
      </c>
      <c r="C93" s="83" t="s">
        <v>152</v>
      </c>
      <c r="D93" s="52">
        <v>162000000</v>
      </c>
      <c r="E93" s="52">
        <v>161886541</v>
      </c>
      <c r="F93" s="14">
        <f t="shared" si="2"/>
        <v>0.9992996358024692</v>
      </c>
    </row>
    <row r="94" spans="1:10" s="16" customFormat="1" ht="19.5" customHeight="1">
      <c r="A94" s="66"/>
      <c r="B94" s="67" t="s">
        <v>290</v>
      </c>
      <c r="C94" s="70" t="s">
        <v>147</v>
      </c>
      <c r="D94" s="52">
        <v>1000000000</v>
      </c>
      <c r="E94" s="52">
        <v>900000000</v>
      </c>
      <c r="F94" s="14">
        <f t="shared" si="2"/>
        <v>0.9</v>
      </c>
      <c r="G94" s="11"/>
      <c r="H94" s="11"/>
      <c r="I94" s="11"/>
      <c r="J94" s="11"/>
    </row>
    <row r="95" spans="1:6" s="13" customFormat="1" ht="19.5" customHeight="1">
      <c r="A95" s="66">
        <v>2</v>
      </c>
      <c r="B95" s="71" t="s">
        <v>292</v>
      </c>
      <c r="C95" s="71"/>
      <c r="D95" s="53">
        <f>D96+D97</f>
        <v>2100000000</v>
      </c>
      <c r="E95" s="53">
        <f>E96+E97</f>
        <v>2100000000</v>
      </c>
      <c r="F95" s="18">
        <f t="shared" si="2"/>
        <v>1</v>
      </c>
    </row>
    <row r="96" spans="1:6" s="25" customFormat="1" ht="72" customHeight="1">
      <c r="A96" s="69"/>
      <c r="B96" s="83" t="s">
        <v>294</v>
      </c>
      <c r="C96" s="93" t="s">
        <v>10</v>
      </c>
      <c r="D96" s="52">
        <v>1100000000</v>
      </c>
      <c r="E96" s="52">
        <v>1100000000</v>
      </c>
      <c r="F96" s="14">
        <f t="shared" si="2"/>
        <v>1</v>
      </c>
    </row>
    <row r="97" spans="1:6" s="11" customFormat="1" ht="36.75" customHeight="1">
      <c r="A97" s="66"/>
      <c r="B97" s="67" t="s">
        <v>293</v>
      </c>
      <c r="C97" s="70" t="s">
        <v>149</v>
      </c>
      <c r="D97" s="52">
        <v>1000000000</v>
      </c>
      <c r="E97" s="52">
        <v>1000000000</v>
      </c>
      <c r="F97" s="14">
        <f aca="true" t="shared" si="3" ref="F97:F102">E97/D97</f>
        <v>1</v>
      </c>
    </row>
    <row r="98" spans="1:6" s="13" customFormat="1" ht="19.5" customHeight="1">
      <c r="A98" s="66">
        <v>3</v>
      </c>
      <c r="B98" s="71" t="s">
        <v>26</v>
      </c>
      <c r="C98" s="72"/>
      <c r="D98" s="53">
        <f>D99</f>
        <v>1100000000</v>
      </c>
      <c r="E98" s="53">
        <f>E99</f>
        <v>1100000000</v>
      </c>
      <c r="F98" s="18">
        <f t="shared" si="3"/>
        <v>1</v>
      </c>
    </row>
    <row r="99" spans="1:6" s="27" customFormat="1" ht="30.75" customHeight="1">
      <c r="A99" s="81"/>
      <c r="B99" s="82" t="s">
        <v>295</v>
      </c>
      <c r="C99" s="93" t="s">
        <v>10</v>
      </c>
      <c r="D99" s="58">
        <v>1100000000</v>
      </c>
      <c r="E99" s="58">
        <v>1100000000</v>
      </c>
      <c r="F99" s="26">
        <f t="shared" si="3"/>
        <v>1</v>
      </c>
    </row>
    <row r="100" spans="1:6" s="11" customFormat="1" ht="21" customHeight="1">
      <c r="A100" s="66">
        <v>4</v>
      </c>
      <c r="B100" s="68" t="s">
        <v>298</v>
      </c>
      <c r="C100" s="72"/>
      <c r="D100" s="53">
        <f>D101+D102</f>
        <v>2200000000</v>
      </c>
      <c r="E100" s="53">
        <f>E101+E102</f>
        <v>2200000000</v>
      </c>
      <c r="F100" s="18">
        <f t="shared" si="3"/>
        <v>1</v>
      </c>
    </row>
    <row r="101" spans="1:10" s="28" customFormat="1" ht="54" customHeight="1">
      <c r="A101" s="69"/>
      <c r="B101" s="67" t="s">
        <v>299</v>
      </c>
      <c r="C101" s="93" t="s">
        <v>10</v>
      </c>
      <c r="D101" s="52">
        <v>1100000000</v>
      </c>
      <c r="E101" s="52">
        <v>1100000000</v>
      </c>
      <c r="F101" s="14">
        <f t="shared" si="3"/>
        <v>1</v>
      </c>
      <c r="G101" s="12"/>
      <c r="H101" s="12"/>
      <c r="I101" s="12"/>
      <c r="J101" s="12"/>
    </row>
    <row r="102" spans="1:6" s="11" customFormat="1" ht="59.25" customHeight="1">
      <c r="A102" s="66"/>
      <c r="B102" s="67" t="s">
        <v>300</v>
      </c>
      <c r="C102" s="93" t="s">
        <v>10</v>
      </c>
      <c r="D102" s="52">
        <v>1100000000</v>
      </c>
      <c r="E102" s="52">
        <v>1100000000</v>
      </c>
      <c r="F102" s="14">
        <f t="shared" si="3"/>
        <v>1</v>
      </c>
    </row>
    <row r="103" spans="1:6" s="11" customFormat="1" ht="19.5" customHeight="1">
      <c r="A103" s="66">
        <v>5</v>
      </c>
      <c r="B103" s="71" t="s">
        <v>301</v>
      </c>
      <c r="C103" s="68"/>
      <c r="D103" s="53">
        <f>D104</f>
        <v>1000000000</v>
      </c>
      <c r="E103" s="53">
        <f>E104</f>
        <v>1000000000</v>
      </c>
      <c r="F103" s="18">
        <f>F104</f>
        <v>1</v>
      </c>
    </row>
    <row r="104" spans="1:6" s="12" customFormat="1" ht="117" customHeight="1">
      <c r="A104" s="66"/>
      <c r="B104" s="67" t="s">
        <v>302</v>
      </c>
      <c r="C104" s="93" t="s">
        <v>10</v>
      </c>
      <c r="D104" s="52">
        <v>1000000000</v>
      </c>
      <c r="E104" s="52">
        <v>1000000000</v>
      </c>
      <c r="F104" s="14">
        <f>E104/D104</f>
        <v>1</v>
      </c>
    </row>
    <row r="105" spans="1:6" s="13" customFormat="1" ht="19.5" customHeight="1">
      <c r="A105" s="66">
        <v>6</v>
      </c>
      <c r="B105" s="71" t="s">
        <v>27</v>
      </c>
      <c r="C105" s="68"/>
      <c r="D105" s="53">
        <f>D106</f>
        <v>1500000000</v>
      </c>
      <c r="E105" s="53">
        <f>E106</f>
        <v>1500000000</v>
      </c>
      <c r="F105" s="18">
        <f>F106</f>
        <v>1</v>
      </c>
    </row>
    <row r="106" spans="1:6" s="11" customFormat="1" ht="45.75" customHeight="1">
      <c r="A106" s="66"/>
      <c r="B106" s="67" t="s">
        <v>296</v>
      </c>
      <c r="C106" s="90" t="s">
        <v>10</v>
      </c>
      <c r="D106" s="52">
        <v>1500000000</v>
      </c>
      <c r="E106" s="52">
        <v>1500000000</v>
      </c>
      <c r="F106" s="14">
        <f aca="true" t="shared" si="4" ref="F106:F114">E106/D106</f>
        <v>1</v>
      </c>
    </row>
    <row r="107" spans="1:7" s="13" customFormat="1" ht="19.5" customHeight="1">
      <c r="A107" s="66">
        <v>7</v>
      </c>
      <c r="B107" s="71" t="s">
        <v>28</v>
      </c>
      <c r="C107" s="72"/>
      <c r="D107" s="53">
        <f>D108</f>
        <v>1100000000</v>
      </c>
      <c r="E107" s="53">
        <f>E108</f>
        <v>1100000000</v>
      </c>
      <c r="F107" s="18">
        <f t="shared" si="4"/>
        <v>1</v>
      </c>
      <c r="G107" s="11"/>
    </row>
    <row r="108" spans="1:6" s="12" customFormat="1" ht="39.75" customHeight="1">
      <c r="A108" s="66"/>
      <c r="B108" s="67" t="s">
        <v>297</v>
      </c>
      <c r="C108" s="90" t="s">
        <v>10</v>
      </c>
      <c r="D108" s="52">
        <v>1100000000</v>
      </c>
      <c r="E108" s="52">
        <v>1100000000</v>
      </c>
      <c r="F108" s="14">
        <f t="shared" si="4"/>
        <v>1</v>
      </c>
    </row>
    <row r="109" spans="1:6" s="12" customFormat="1" ht="19.5" customHeight="1">
      <c r="A109" s="66">
        <v>8</v>
      </c>
      <c r="B109" s="71" t="s">
        <v>417</v>
      </c>
      <c r="C109" s="72"/>
      <c r="D109" s="53">
        <f>D110</f>
        <v>194600000</v>
      </c>
      <c r="E109" s="53">
        <f>E110</f>
        <v>0</v>
      </c>
      <c r="F109" s="18">
        <f t="shared" si="4"/>
        <v>0</v>
      </c>
    </row>
    <row r="110" spans="1:6" s="17" customFormat="1" ht="31.5" customHeight="1">
      <c r="A110" s="66"/>
      <c r="B110" s="67" t="s">
        <v>419</v>
      </c>
      <c r="C110" s="90" t="s">
        <v>148</v>
      </c>
      <c r="D110" s="52">
        <v>194600000</v>
      </c>
      <c r="E110" s="52"/>
      <c r="F110" s="14">
        <f t="shared" si="4"/>
        <v>0</v>
      </c>
    </row>
    <row r="111" spans="1:6" s="12" customFormat="1" ht="19.5" customHeight="1">
      <c r="A111" s="66">
        <v>9</v>
      </c>
      <c r="B111" s="71" t="s">
        <v>418</v>
      </c>
      <c r="C111" s="72"/>
      <c r="D111" s="53">
        <f>D112</f>
        <v>283569000</v>
      </c>
      <c r="E111" s="53">
        <f>E112</f>
        <v>0</v>
      </c>
      <c r="F111" s="18">
        <f t="shared" si="4"/>
        <v>0</v>
      </c>
    </row>
    <row r="112" spans="1:6" s="17" customFormat="1" ht="33.75" customHeight="1">
      <c r="A112" s="66"/>
      <c r="B112" s="67" t="s">
        <v>420</v>
      </c>
      <c r="C112" s="90" t="s">
        <v>148</v>
      </c>
      <c r="D112" s="52">
        <v>283569000</v>
      </c>
      <c r="E112" s="52"/>
      <c r="F112" s="14">
        <f t="shared" si="4"/>
        <v>0</v>
      </c>
    </row>
    <row r="113" spans="1:6" s="11" customFormat="1" ht="19.5" customHeight="1">
      <c r="A113" s="66">
        <v>10</v>
      </c>
      <c r="B113" s="71" t="s">
        <v>29</v>
      </c>
      <c r="C113" s="72"/>
      <c r="D113" s="53">
        <f>D114</f>
        <v>1000000000</v>
      </c>
      <c r="E113" s="53">
        <f>E114</f>
        <v>1000000000</v>
      </c>
      <c r="F113" s="18">
        <f t="shared" si="4"/>
        <v>1</v>
      </c>
    </row>
    <row r="114" spans="1:6" s="13" customFormat="1" ht="26.25" customHeight="1">
      <c r="A114" s="66"/>
      <c r="B114" s="67" t="s">
        <v>291</v>
      </c>
      <c r="C114" s="70" t="s">
        <v>149</v>
      </c>
      <c r="D114" s="52">
        <v>1000000000</v>
      </c>
      <c r="E114" s="52">
        <v>1000000000</v>
      </c>
      <c r="F114" s="14">
        <f t="shared" si="4"/>
        <v>1</v>
      </c>
    </row>
    <row r="115" spans="1:6" s="10" customFormat="1" ht="19.5" customHeight="1">
      <c r="A115" s="73" t="s">
        <v>118</v>
      </c>
      <c r="B115" s="74" t="s">
        <v>119</v>
      </c>
      <c r="C115" s="91"/>
      <c r="D115" s="55">
        <f>D116+D121+D123+D126+D130+D133+D135</f>
        <v>28000000000</v>
      </c>
      <c r="E115" s="55">
        <f>E116+E121+E123+E126+E130+E133+E135</f>
        <v>23258596000</v>
      </c>
      <c r="F115" s="22">
        <f aca="true" t="shared" si="5" ref="F115:F120">E115/D115</f>
        <v>0.8306641428571429</v>
      </c>
    </row>
    <row r="116" spans="1:6" s="11" customFormat="1" ht="19.5" customHeight="1">
      <c r="A116" s="66">
        <v>1</v>
      </c>
      <c r="B116" s="71" t="s">
        <v>30</v>
      </c>
      <c r="C116" s="68"/>
      <c r="D116" s="53">
        <f>SUM(D117:D120)</f>
        <v>19000000000</v>
      </c>
      <c r="E116" s="53">
        <f>SUM(E117:E120)</f>
        <v>14258596000</v>
      </c>
      <c r="F116" s="18">
        <f t="shared" si="5"/>
        <v>0.7504524210526315</v>
      </c>
    </row>
    <row r="117" spans="1:6" s="11" customFormat="1" ht="36.75" customHeight="1">
      <c r="A117" s="66"/>
      <c r="B117" s="67" t="s">
        <v>167</v>
      </c>
      <c r="C117" s="70" t="s">
        <v>147</v>
      </c>
      <c r="D117" s="52">
        <v>5000000000</v>
      </c>
      <c r="E117" s="52">
        <v>258596000</v>
      </c>
      <c r="F117" s="14">
        <f t="shared" si="5"/>
        <v>0.0517192</v>
      </c>
    </row>
    <row r="118" spans="1:6" s="11" customFormat="1" ht="36.75" customHeight="1">
      <c r="A118" s="66"/>
      <c r="B118" s="67" t="s">
        <v>303</v>
      </c>
      <c r="C118" s="70" t="s">
        <v>147</v>
      </c>
      <c r="D118" s="52">
        <v>5000000000</v>
      </c>
      <c r="E118" s="52">
        <v>5000000000</v>
      </c>
      <c r="F118" s="14">
        <f t="shared" si="5"/>
        <v>1</v>
      </c>
    </row>
    <row r="119" spans="1:10" s="16" customFormat="1" ht="36.75" customHeight="1">
      <c r="A119" s="66"/>
      <c r="B119" s="67" t="s">
        <v>304</v>
      </c>
      <c r="C119" s="70" t="s">
        <v>147</v>
      </c>
      <c r="D119" s="52">
        <v>7000000000</v>
      </c>
      <c r="E119" s="52">
        <v>7000000000</v>
      </c>
      <c r="F119" s="14">
        <f t="shared" si="5"/>
        <v>1</v>
      </c>
      <c r="G119" s="11"/>
      <c r="H119" s="11"/>
      <c r="I119" s="11"/>
      <c r="J119" s="11"/>
    </row>
    <row r="120" spans="1:6" s="13" customFormat="1" ht="36.75" customHeight="1">
      <c r="A120" s="66"/>
      <c r="B120" s="67" t="s">
        <v>305</v>
      </c>
      <c r="C120" s="83" t="s">
        <v>149</v>
      </c>
      <c r="D120" s="52">
        <v>2000000000</v>
      </c>
      <c r="E120" s="52">
        <v>2000000000</v>
      </c>
      <c r="F120" s="14">
        <f t="shared" si="5"/>
        <v>1</v>
      </c>
    </row>
    <row r="121" spans="1:6" s="13" customFormat="1" ht="19.5" customHeight="1">
      <c r="A121" s="66">
        <v>2</v>
      </c>
      <c r="B121" s="68" t="s">
        <v>309</v>
      </c>
      <c r="C121" s="71"/>
      <c r="D121" s="53">
        <f>D122</f>
        <v>1600000000</v>
      </c>
      <c r="E121" s="53">
        <f>E122</f>
        <v>1600000000</v>
      </c>
      <c r="F121" s="18">
        <f>F122</f>
        <v>1</v>
      </c>
    </row>
    <row r="122" spans="1:10" s="16" customFormat="1" ht="36" customHeight="1">
      <c r="A122" s="79"/>
      <c r="B122" s="67" t="s">
        <v>310</v>
      </c>
      <c r="C122" s="90" t="s">
        <v>10</v>
      </c>
      <c r="D122" s="57">
        <v>1600000000</v>
      </c>
      <c r="E122" s="57">
        <v>1600000000</v>
      </c>
      <c r="F122" s="14">
        <f aca="true" t="shared" si="6" ref="F122:F129">E122/D122</f>
        <v>1</v>
      </c>
      <c r="G122" s="11"/>
      <c r="H122" s="11"/>
      <c r="I122" s="11"/>
      <c r="J122" s="11"/>
    </row>
    <row r="123" spans="1:6" s="13" customFormat="1" ht="19.5" customHeight="1">
      <c r="A123" s="77">
        <v>3</v>
      </c>
      <c r="B123" s="68" t="s">
        <v>31</v>
      </c>
      <c r="C123" s="92"/>
      <c r="D123" s="56">
        <f>D124+D125</f>
        <v>1090000000</v>
      </c>
      <c r="E123" s="56">
        <f>E124+E125</f>
        <v>1090000000</v>
      </c>
      <c r="F123" s="18">
        <f t="shared" si="6"/>
        <v>1</v>
      </c>
    </row>
    <row r="124" spans="1:6" s="13" customFormat="1" ht="25.5" customHeight="1">
      <c r="A124" s="77"/>
      <c r="B124" s="67" t="s">
        <v>162</v>
      </c>
      <c r="C124" s="90" t="s">
        <v>10</v>
      </c>
      <c r="D124" s="57">
        <v>490000000</v>
      </c>
      <c r="E124" s="57">
        <v>490000000</v>
      </c>
      <c r="F124" s="14">
        <f t="shared" si="6"/>
        <v>1</v>
      </c>
    </row>
    <row r="125" spans="1:6" s="12" customFormat="1" ht="24.75" customHeight="1">
      <c r="A125" s="66"/>
      <c r="B125" s="67" t="s">
        <v>306</v>
      </c>
      <c r="C125" s="90" t="s">
        <v>10</v>
      </c>
      <c r="D125" s="52">
        <v>600000000</v>
      </c>
      <c r="E125" s="52">
        <v>600000000</v>
      </c>
      <c r="F125" s="14">
        <f t="shared" si="6"/>
        <v>1</v>
      </c>
    </row>
    <row r="126" spans="1:6" s="13" customFormat="1" ht="19.5" customHeight="1">
      <c r="A126" s="66">
        <v>4</v>
      </c>
      <c r="B126" s="71" t="s">
        <v>32</v>
      </c>
      <c r="C126" s="71"/>
      <c r="D126" s="53">
        <f>D127+D129+D128</f>
        <v>1952000000</v>
      </c>
      <c r="E126" s="53">
        <f>E127+E129+E128</f>
        <v>1952000000</v>
      </c>
      <c r="F126" s="18">
        <f t="shared" si="6"/>
        <v>1</v>
      </c>
    </row>
    <row r="127" spans="1:6" s="11" customFormat="1" ht="36.75" customHeight="1">
      <c r="A127" s="66"/>
      <c r="B127" s="67" t="s">
        <v>168</v>
      </c>
      <c r="C127" s="90" t="s">
        <v>10</v>
      </c>
      <c r="D127" s="52">
        <v>485000000</v>
      </c>
      <c r="E127" s="52">
        <v>485000000</v>
      </c>
      <c r="F127" s="14">
        <f t="shared" si="6"/>
        <v>1</v>
      </c>
    </row>
    <row r="128" spans="1:6" s="11" customFormat="1" ht="36.75" customHeight="1">
      <c r="A128" s="66"/>
      <c r="B128" s="67" t="s">
        <v>169</v>
      </c>
      <c r="C128" s="90" t="s">
        <v>10</v>
      </c>
      <c r="D128" s="52">
        <v>1142000000</v>
      </c>
      <c r="E128" s="52">
        <v>1142000000</v>
      </c>
      <c r="F128" s="14">
        <f t="shared" si="6"/>
        <v>1</v>
      </c>
    </row>
    <row r="129" spans="1:6" s="11" customFormat="1" ht="36.75" customHeight="1">
      <c r="A129" s="66"/>
      <c r="B129" s="67" t="s">
        <v>170</v>
      </c>
      <c r="C129" s="90" t="s">
        <v>10</v>
      </c>
      <c r="D129" s="52">
        <v>325000000</v>
      </c>
      <c r="E129" s="52">
        <v>325000000</v>
      </c>
      <c r="F129" s="14">
        <f t="shared" si="6"/>
        <v>1</v>
      </c>
    </row>
    <row r="130" spans="1:6" s="13" customFormat="1" ht="19.5" customHeight="1">
      <c r="A130" s="66">
        <v>5</v>
      </c>
      <c r="B130" s="71" t="s">
        <v>33</v>
      </c>
      <c r="C130" s="68"/>
      <c r="D130" s="53">
        <f>D131+D132</f>
        <v>3101000000</v>
      </c>
      <c r="E130" s="53">
        <f>E131+E132</f>
        <v>3101000000</v>
      </c>
      <c r="F130" s="18">
        <f>F132</f>
        <v>1</v>
      </c>
    </row>
    <row r="131" spans="1:6" s="13" customFormat="1" ht="40.5" customHeight="1">
      <c r="A131" s="66"/>
      <c r="B131" s="67" t="s">
        <v>308</v>
      </c>
      <c r="C131" s="90" t="s">
        <v>10</v>
      </c>
      <c r="D131" s="52">
        <v>1516000000</v>
      </c>
      <c r="E131" s="52">
        <v>1516000000</v>
      </c>
      <c r="F131" s="14">
        <f>F133</f>
        <v>1</v>
      </c>
    </row>
    <row r="132" spans="1:6" s="11" customFormat="1" ht="36.75" customHeight="1">
      <c r="A132" s="66"/>
      <c r="B132" s="67" t="s">
        <v>307</v>
      </c>
      <c r="C132" s="90" t="s">
        <v>10</v>
      </c>
      <c r="D132" s="52">
        <v>1585000000</v>
      </c>
      <c r="E132" s="52">
        <v>1585000000</v>
      </c>
      <c r="F132" s="14">
        <f>E132/D132</f>
        <v>1</v>
      </c>
    </row>
    <row r="133" spans="1:6" s="11" customFormat="1" ht="19.5" customHeight="1">
      <c r="A133" s="77">
        <v>6</v>
      </c>
      <c r="B133" s="71" t="s">
        <v>34</v>
      </c>
      <c r="C133" s="92"/>
      <c r="D133" s="56">
        <f>D134</f>
        <v>257000000</v>
      </c>
      <c r="E133" s="56">
        <f>E134</f>
        <v>257000000</v>
      </c>
      <c r="F133" s="18">
        <f aca="true" t="shared" si="7" ref="F133:F151">E133/D133</f>
        <v>1</v>
      </c>
    </row>
    <row r="134" spans="1:6" s="11" customFormat="1" ht="36.75" customHeight="1">
      <c r="A134" s="66"/>
      <c r="B134" s="67" t="s">
        <v>163</v>
      </c>
      <c r="C134" s="90" t="s">
        <v>10</v>
      </c>
      <c r="D134" s="52">
        <v>257000000</v>
      </c>
      <c r="E134" s="52">
        <v>257000000</v>
      </c>
      <c r="F134" s="14">
        <f t="shared" si="7"/>
        <v>1</v>
      </c>
    </row>
    <row r="135" spans="1:6" s="11" customFormat="1" ht="36.75" customHeight="1">
      <c r="A135" s="66">
        <v>7</v>
      </c>
      <c r="B135" s="78" t="s">
        <v>446</v>
      </c>
      <c r="C135" s="72"/>
      <c r="D135" s="53">
        <f>D136+D137</f>
        <v>1000000000</v>
      </c>
      <c r="E135" s="53">
        <f>E136+E137</f>
        <v>1000000000</v>
      </c>
      <c r="F135" s="14">
        <f t="shared" si="7"/>
        <v>1</v>
      </c>
    </row>
    <row r="136" spans="1:6" s="12" customFormat="1" ht="36.75" customHeight="1">
      <c r="A136" s="69"/>
      <c r="B136" s="67" t="s">
        <v>447</v>
      </c>
      <c r="C136" s="90" t="s">
        <v>439</v>
      </c>
      <c r="D136" s="52">
        <v>588413465</v>
      </c>
      <c r="E136" s="52">
        <v>588413465</v>
      </c>
      <c r="F136" s="14">
        <f t="shared" si="7"/>
        <v>1</v>
      </c>
    </row>
    <row r="137" spans="1:6" s="12" customFormat="1" ht="36.75" customHeight="1">
      <c r="A137" s="69"/>
      <c r="B137" s="67" t="s">
        <v>448</v>
      </c>
      <c r="C137" s="90" t="s">
        <v>439</v>
      </c>
      <c r="D137" s="52">
        <v>411586535</v>
      </c>
      <c r="E137" s="52">
        <v>411586535</v>
      </c>
      <c r="F137" s="14">
        <f t="shared" si="7"/>
        <v>1</v>
      </c>
    </row>
    <row r="138" spans="1:6" s="10" customFormat="1" ht="19.5" customHeight="1">
      <c r="A138" s="73" t="s">
        <v>120</v>
      </c>
      <c r="B138" s="74" t="s">
        <v>121</v>
      </c>
      <c r="C138" s="91"/>
      <c r="D138" s="55">
        <f>D139+D141+D151+D153+D155+D157+D160+D162</f>
        <v>57000000000</v>
      </c>
      <c r="E138" s="55">
        <f>E139+E141+E151+E153+E155+E157+E160+E162</f>
        <v>47000000000</v>
      </c>
      <c r="F138" s="22">
        <f t="shared" si="7"/>
        <v>0.8245614035087719</v>
      </c>
    </row>
    <row r="139" spans="1:6" s="30" customFormat="1" ht="19.5" customHeight="1">
      <c r="A139" s="110">
        <v>1</v>
      </c>
      <c r="B139" s="111" t="s">
        <v>316</v>
      </c>
      <c r="C139" s="112"/>
      <c r="D139" s="113">
        <f>D140</f>
        <v>3500000000</v>
      </c>
      <c r="E139" s="113">
        <f>E140</f>
        <v>3500000000</v>
      </c>
      <c r="F139" s="29">
        <f t="shared" si="7"/>
        <v>1</v>
      </c>
    </row>
    <row r="140" spans="1:6" s="30" customFormat="1" ht="34.5" customHeight="1">
      <c r="A140" s="110"/>
      <c r="B140" s="114" t="s">
        <v>317</v>
      </c>
      <c r="C140" s="94" t="s">
        <v>147</v>
      </c>
      <c r="D140" s="52">
        <v>3500000000</v>
      </c>
      <c r="E140" s="115">
        <f>3277011000+222989000</f>
        <v>3500000000</v>
      </c>
      <c r="F140" s="31">
        <f t="shared" si="7"/>
        <v>1</v>
      </c>
    </row>
    <row r="141" spans="1:6" s="11" customFormat="1" ht="19.5" customHeight="1">
      <c r="A141" s="66">
        <v>2</v>
      </c>
      <c r="B141" s="71" t="s">
        <v>35</v>
      </c>
      <c r="C141" s="68"/>
      <c r="D141" s="53">
        <f>SUM(D142:D150)</f>
        <v>42500000000</v>
      </c>
      <c r="E141" s="53">
        <f>SUM(E142:E150)</f>
        <v>35500000000</v>
      </c>
      <c r="F141" s="18">
        <f t="shared" si="7"/>
        <v>0.8352941176470589</v>
      </c>
    </row>
    <row r="142" spans="1:6" s="11" customFormat="1" ht="36.75" customHeight="1">
      <c r="A142" s="66"/>
      <c r="B142" s="67" t="s">
        <v>171</v>
      </c>
      <c r="C142" s="70" t="s">
        <v>147</v>
      </c>
      <c r="D142" s="52">
        <v>5000000000</v>
      </c>
      <c r="E142" s="52">
        <f>4200000000+600000000+200000000</f>
        <v>5000000000</v>
      </c>
      <c r="F142" s="14">
        <f t="shared" si="7"/>
        <v>1</v>
      </c>
    </row>
    <row r="143" spans="1:6" s="32" customFormat="1" ht="57" customHeight="1">
      <c r="A143" s="66"/>
      <c r="B143" s="67" t="s">
        <v>172</v>
      </c>
      <c r="C143" s="70" t="s">
        <v>147</v>
      </c>
      <c r="D143" s="52">
        <v>10000000000</v>
      </c>
      <c r="E143" s="52">
        <v>10000000000</v>
      </c>
      <c r="F143" s="14">
        <f t="shared" si="7"/>
        <v>1</v>
      </c>
    </row>
    <row r="144" spans="1:6" s="11" customFormat="1" ht="36.75" customHeight="1">
      <c r="A144" s="66"/>
      <c r="B144" s="67" t="s">
        <v>171</v>
      </c>
      <c r="C144" s="83" t="s">
        <v>149</v>
      </c>
      <c r="D144" s="52">
        <v>4000000000</v>
      </c>
      <c r="E144" s="52">
        <v>4000000000</v>
      </c>
      <c r="F144" s="14">
        <f t="shared" si="7"/>
        <v>1</v>
      </c>
    </row>
    <row r="145" spans="1:6" s="11" customFormat="1" ht="36.75" customHeight="1">
      <c r="A145" s="66"/>
      <c r="B145" s="67" t="s">
        <v>199</v>
      </c>
      <c r="C145" s="83" t="s">
        <v>149</v>
      </c>
      <c r="D145" s="52">
        <v>3000000000</v>
      </c>
      <c r="E145" s="52">
        <v>2000000000</v>
      </c>
      <c r="F145" s="14">
        <f t="shared" si="7"/>
        <v>0.6666666666666666</v>
      </c>
    </row>
    <row r="146" spans="1:6" s="13" customFormat="1" ht="36.75" customHeight="1">
      <c r="A146" s="66"/>
      <c r="B146" s="67" t="s">
        <v>311</v>
      </c>
      <c r="C146" s="83" t="s">
        <v>147</v>
      </c>
      <c r="D146" s="52">
        <v>6000000000</v>
      </c>
      <c r="E146" s="52"/>
      <c r="F146" s="14">
        <f t="shared" si="7"/>
        <v>0</v>
      </c>
    </row>
    <row r="147" spans="1:6" s="127" customFormat="1" ht="36.75" customHeight="1">
      <c r="A147" s="69"/>
      <c r="B147" s="67" t="s">
        <v>312</v>
      </c>
      <c r="C147" s="83" t="s">
        <v>147</v>
      </c>
      <c r="D147" s="52">
        <v>5000000000</v>
      </c>
      <c r="E147" s="52">
        <v>5000000000</v>
      </c>
      <c r="F147" s="14">
        <f t="shared" si="7"/>
        <v>1</v>
      </c>
    </row>
    <row r="148" spans="1:6" s="11" customFormat="1" ht="36.75" customHeight="1">
      <c r="A148" s="66"/>
      <c r="B148" s="67" t="s">
        <v>313</v>
      </c>
      <c r="C148" s="83" t="s">
        <v>147</v>
      </c>
      <c r="D148" s="52">
        <v>6000000000</v>
      </c>
      <c r="E148" s="52">
        <f>5805145200+194854800</f>
        <v>6000000000</v>
      </c>
      <c r="F148" s="14">
        <f t="shared" si="7"/>
        <v>1</v>
      </c>
    </row>
    <row r="149" spans="1:6" s="11" customFormat="1" ht="36.75" customHeight="1">
      <c r="A149" s="66"/>
      <c r="B149" s="67" t="s">
        <v>314</v>
      </c>
      <c r="C149" s="83" t="s">
        <v>149</v>
      </c>
      <c r="D149" s="52">
        <v>2500000000</v>
      </c>
      <c r="E149" s="52">
        <v>2500000000</v>
      </c>
      <c r="F149" s="14">
        <f t="shared" si="7"/>
        <v>1</v>
      </c>
    </row>
    <row r="150" spans="1:6" s="11" customFormat="1" ht="30.75" customHeight="1">
      <c r="A150" s="66"/>
      <c r="B150" s="67" t="s">
        <v>315</v>
      </c>
      <c r="C150" s="83" t="s">
        <v>149</v>
      </c>
      <c r="D150" s="52">
        <v>1000000000</v>
      </c>
      <c r="E150" s="52">
        <v>1000000000</v>
      </c>
      <c r="F150" s="14">
        <f t="shared" si="7"/>
        <v>1</v>
      </c>
    </row>
    <row r="151" spans="1:6" s="11" customFormat="1" ht="19.5" customHeight="1">
      <c r="A151" s="66">
        <v>3</v>
      </c>
      <c r="B151" s="71" t="s">
        <v>36</v>
      </c>
      <c r="C151" s="71"/>
      <c r="D151" s="53">
        <f>D152</f>
        <v>800000000</v>
      </c>
      <c r="E151" s="53">
        <f>E152</f>
        <v>800000000</v>
      </c>
      <c r="F151" s="18">
        <f t="shared" si="7"/>
        <v>1</v>
      </c>
    </row>
    <row r="152" spans="1:6" s="11" customFormat="1" ht="36.75" customHeight="1">
      <c r="A152" s="66"/>
      <c r="B152" s="67" t="s">
        <v>173</v>
      </c>
      <c r="C152" s="90" t="s">
        <v>10</v>
      </c>
      <c r="D152" s="52">
        <v>800000000</v>
      </c>
      <c r="E152" s="52">
        <v>800000000</v>
      </c>
      <c r="F152" s="14">
        <f>E152/D152</f>
        <v>1</v>
      </c>
    </row>
    <row r="153" spans="1:6" s="11" customFormat="1" ht="19.5" customHeight="1">
      <c r="A153" s="66">
        <v>4</v>
      </c>
      <c r="B153" s="71" t="s">
        <v>37</v>
      </c>
      <c r="C153" s="68"/>
      <c r="D153" s="53">
        <f>D154</f>
        <v>1350000000</v>
      </c>
      <c r="E153" s="53">
        <f>E154</f>
        <v>1350000000</v>
      </c>
      <c r="F153" s="18">
        <f>E153/D153</f>
        <v>1</v>
      </c>
    </row>
    <row r="154" spans="1:6" s="11" customFormat="1" ht="19.5" customHeight="1">
      <c r="A154" s="66"/>
      <c r="B154" s="67" t="s">
        <v>426</v>
      </c>
      <c r="C154" s="90" t="s">
        <v>10</v>
      </c>
      <c r="D154" s="52">
        <v>1350000000</v>
      </c>
      <c r="E154" s="52">
        <v>1350000000</v>
      </c>
      <c r="F154" s="14">
        <f>E154/D154</f>
        <v>1</v>
      </c>
    </row>
    <row r="155" spans="1:6" s="98" customFormat="1" ht="19.5" customHeight="1">
      <c r="A155" s="66">
        <v>5</v>
      </c>
      <c r="B155" s="68" t="s">
        <v>38</v>
      </c>
      <c r="C155" s="71"/>
      <c r="D155" s="53">
        <f>D156</f>
        <v>1500000000</v>
      </c>
      <c r="E155" s="53">
        <f>E156</f>
        <v>1500000000</v>
      </c>
      <c r="F155" s="18">
        <f>F156</f>
        <v>1</v>
      </c>
    </row>
    <row r="156" spans="1:6" s="11" customFormat="1" ht="19.5" customHeight="1">
      <c r="A156" s="69"/>
      <c r="B156" s="67" t="s">
        <v>318</v>
      </c>
      <c r="C156" s="90" t="s">
        <v>10</v>
      </c>
      <c r="D156" s="52">
        <v>1500000000</v>
      </c>
      <c r="E156" s="52">
        <v>1500000000</v>
      </c>
      <c r="F156" s="14">
        <f>E156/D156</f>
        <v>1</v>
      </c>
    </row>
    <row r="157" spans="1:6" s="11" customFormat="1" ht="19.5" customHeight="1">
      <c r="A157" s="66">
        <v>6</v>
      </c>
      <c r="B157" s="72" t="s">
        <v>39</v>
      </c>
      <c r="C157" s="71"/>
      <c r="D157" s="53">
        <f>D158+D159</f>
        <v>4650000000</v>
      </c>
      <c r="E157" s="53">
        <f>E158</f>
        <v>1650000000</v>
      </c>
      <c r="F157" s="18">
        <f>F158</f>
        <v>1</v>
      </c>
    </row>
    <row r="158" spans="1:6" s="11" customFormat="1" ht="36.75" customHeight="1">
      <c r="A158" s="66"/>
      <c r="B158" s="67" t="s">
        <v>200</v>
      </c>
      <c r="C158" s="90" t="s">
        <v>10</v>
      </c>
      <c r="D158" s="52">
        <v>1650000000</v>
      </c>
      <c r="E158" s="52">
        <v>1650000000</v>
      </c>
      <c r="F158" s="14">
        <f aca="true" t="shared" si="8" ref="F158:F163">E158/D158</f>
        <v>1</v>
      </c>
    </row>
    <row r="159" spans="1:6" s="11" customFormat="1" ht="36.75" customHeight="1">
      <c r="A159" s="66"/>
      <c r="B159" s="67" t="s">
        <v>320</v>
      </c>
      <c r="C159" s="90" t="s">
        <v>151</v>
      </c>
      <c r="D159" s="52">
        <v>3000000000</v>
      </c>
      <c r="E159" s="52"/>
      <c r="F159" s="14">
        <f t="shared" si="8"/>
        <v>0</v>
      </c>
    </row>
    <row r="160" spans="1:6" s="11" customFormat="1" ht="19.5" customHeight="1">
      <c r="A160" s="66">
        <v>7</v>
      </c>
      <c r="B160" s="78" t="s">
        <v>139</v>
      </c>
      <c r="C160" s="71"/>
      <c r="D160" s="53">
        <f>D161</f>
        <v>1500000000</v>
      </c>
      <c r="E160" s="53">
        <f>E161</f>
        <v>1500000000</v>
      </c>
      <c r="F160" s="18">
        <f t="shared" si="8"/>
        <v>1</v>
      </c>
    </row>
    <row r="161" spans="1:6" s="11" customFormat="1" ht="21.75" customHeight="1">
      <c r="A161" s="66"/>
      <c r="B161" s="67" t="s">
        <v>140</v>
      </c>
      <c r="C161" s="83" t="s">
        <v>10</v>
      </c>
      <c r="D161" s="52">
        <v>1500000000</v>
      </c>
      <c r="E161" s="52">
        <v>1500000000</v>
      </c>
      <c r="F161" s="14">
        <f t="shared" si="8"/>
        <v>1</v>
      </c>
    </row>
    <row r="162" spans="1:6" s="11" customFormat="1" ht="19.5" customHeight="1">
      <c r="A162" s="66">
        <v>8</v>
      </c>
      <c r="B162" s="78" t="s">
        <v>240</v>
      </c>
      <c r="C162" s="71"/>
      <c r="D162" s="53">
        <f>D163</f>
        <v>1200000000</v>
      </c>
      <c r="E162" s="53">
        <f>E163</f>
        <v>1200000000</v>
      </c>
      <c r="F162" s="18">
        <f t="shared" si="8"/>
        <v>1</v>
      </c>
    </row>
    <row r="163" spans="1:6" s="16" customFormat="1" ht="33.75" customHeight="1">
      <c r="A163" s="66"/>
      <c r="B163" s="67" t="s">
        <v>319</v>
      </c>
      <c r="C163" s="83" t="s">
        <v>10</v>
      </c>
      <c r="D163" s="52">
        <v>1200000000</v>
      </c>
      <c r="E163" s="52">
        <v>1200000000</v>
      </c>
      <c r="F163" s="14">
        <f t="shared" si="8"/>
        <v>1</v>
      </c>
    </row>
    <row r="164" spans="1:6" s="10" customFormat="1" ht="19.5" customHeight="1">
      <c r="A164" s="73" t="s">
        <v>122</v>
      </c>
      <c r="B164" s="74" t="s">
        <v>123</v>
      </c>
      <c r="C164" s="91"/>
      <c r="D164" s="55">
        <f>D165+D175+D177+D179+D181+D183</f>
        <v>34100000000</v>
      </c>
      <c r="E164" s="55">
        <f>E165+E175+E177+E179+E181+E183</f>
        <v>34100000000</v>
      </c>
      <c r="F164" s="22">
        <f aca="true" t="shared" si="9" ref="F164:F176">E164/D164</f>
        <v>1</v>
      </c>
    </row>
    <row r="165" spans="1:6" s="11" customFormat="1" ht="19.5" customHeight="1">
      <c r="A165" s="66">
        <v>1</v>
      </c>
      <c r="B165" s="71" t="s">
        <v>40</v>
      </c>
      <c r="C165" s="68"/>
      <c r="D165" s="53">
        <f>SUM(D166:D174)</f>
        <v>26100000000</v>
      </c>
      <c r="E165" s="53">
        <f>SUM(E166:E174)</f>
        <v>26100000000</v>
      </c>
      <c r="F165" s="18">
        <f t="shared" si="9"/>
        <v>1</v>
      </c>
    </row>
    <row r="166" spans="1:6" s="11" customFormat="1" ht="36.75" customHeight="1">
      <c r="A166" s="66"/>
      <c r="B166" s="67" t="s">
        <v>321</v>
      </c>
      <c r="C166" s="70" t="s">
        <v>147</v>
      </c>
      <c r="D166" s="52">
        <v>6000000000</v>
      </c>
      <c r="E166" s="52">
        <v>6000000000</v>
      </c>
      <c r="F166" s="14">
        <f t="shared" si="9"/>
        <v>1</v>
      </c>
    </row>
    <row r="167" spans="1:6" s="11" customFormat="1" ht="36.75" customHeight="1">
      <c r="A167" s="66"/>
      <c r="B167" s="67" t="s">
        <v>321</v>
      </c>
      <c r="C167" s="83" t="s">
        <v>149</v>
      </c>
      <c r="D167" s="52">
        <v>1500000000</v>
      </c>
      <c r="E167" s="52">
        <v>1500000000</v>
      </c>
      <c r="F167" s="14">
        <f t="shared" si="9"/>
        <v>1</v>
      </c>
    </row>
    <row r="168" spans="1:6" s="11" customFormat="1" ht="25.5" customHeight="1">
      <c r="A168" s="66"/>
      <c r="B168" s="67" t="s">
        <v>41</v>
      </c>
      <c r="C168" s="70" t="s">
        <v>147</v>
      </c>
      <c r="D168" s="52">
        <v>600000000</v>
      </c>
      <c r="E168" s="52">
        <v>600000000</v>
      </c>
      <c r="F168" s="14">
        <f t="shared" si="9"/>
        <v>1</v>
      </c>
    </row>
    <row r="169" spans="1:6" s="11" customFormat="1" ht="36.75" customHeight="1">
      <c r="A169" s="66"/>
      <c r="B169" s="67" t="s">
        <v>201</v>
      </c>
      <c r="C169" s="70" t="s">
        <v>147</v>
      </c>
      <c r="D169" s="52">
        <v>3000000000</v>
      </c>
      <c r="E169" s="52">
        <f>1500000000+1400000000+100000000</f>
        <v>3000000000</v>
      </c>
      <c r="F169" s="14">
        <f t="shared" si="9"/>
        <v>1</v>
      </c>
    </row>
    <row r="170" spans="1:6" s="11" customFormat="1" ht="24" customHeight="1">
      <c r="A170" s="66"/>
      <c r="B170" s="67" t="s">
        <v>42</v>
      </c>
      <c r="C170" s="70" t="s">
        <v>147</v>
      </c>
      <c r="D170" s="52">
        <v>6000000000</v>
      </c>
      <c r="E170" s="52">
        <f>2656192000+2463150000+170000000+710658000</f>
        <v>6000000000</v>
      </c>
      <c r="F170" s="14">
        <f t="shared" si="9"/>
        <v>1</v>
      </c>
    </row>
    <row r="171" spans="1:6" s="11" customFormat="1" ht="25.5" customHeight="1">
      <c r="A171" s="66"/>
      <c r="B171" s="67" t="s">
        <v>323</v>
      </c>
      <c r="C171" s="83" t="s">
        <v>149</v>
      </c>
      <c r="D171" s="52">
        <v>1000000000</v>
      </c>
      <c r="E171" s="52">
        <v>1000000000</v>
      </c>
      <c r="F171" s="14">
        <f t="shared" si="9"/>
        <v>1</v>
      </c>
    </row>
    <row r="172" spans="1:6" s="11" customFormat="1" ht="32.25" customHeight="1">
      <c r="A172" s="66"/>
      <c r="B172" s="67" t="s">
        <v>324</v>
      </c>
      <c r="C172" s="83" t="s">
        <v>149</v>
      </c>
      <c r="D172" s="52">
        <v>1000000000</v>
      </c>
      <c r="E172" s="52">
        <v>1000000000</v>
      </c>
      <c r="F172" s="14">
        <f t="shared" si="9"/>
        <v>1</v>
      </c>
    </row>
    <row r="173" spans="1:6" s="11" customFormat="1" ht="33.75" customHeight="1">
      <c r="A173" s="66"/>
      <c r="B173" s="67" t="s">
        <v>325</v>
      </c>
      <c r="C173" s="83" t="s">
        <v>149</v>
      </c>
      <c r="D173" s="52">
        <v>1000000000</v>
      </c>
      <c r="E173" s="52">
        <v>1000000000</v>
      </c>
      <c r="F173" s="14">
        <f t="shared" si="9"/>
        <v>1</v>
      </c>
    </row>
    <row r="174" spans="1:6" s="11" customFormat="1" ht="33" customHeight="1">
      <c r="A174" s="66"/>
      <c r="B174" s="67" t="s">
        <v>322</v>
      </c>
      <c r="C174" s="70" t="s">
        <v>147</v>
      </c>
      <c r="D174" s="52">
        <v>6000000000</v>
      </c>
      <c r="E174" s="52">
        <v>6000000000</v>
      </c>
      <c r="F174" s="14">
        <f t="shared" si="9"/>
        <v>1</v>
      </c>
    </row>
    <row r="175" spans="1:6" s="11" customFormat="1" ht="19.5" customHeight="1">
      <c r="A175" s="66">
        <v>2</v>
      </c>
      <c r="B175" s="71" t="s">
        <v>43</v>
      </c>
      <c r="C175" s="71"/>
      <c r="D175" s="53">
        <f>D176</f>
        <v>1600000000</v>
      </c>
      <c r="E175" s="53">
        <f>E176</f>
        <v>1600000000</v>
      </c>
      <c r="F175" s="18">
        <f t="shared" si="9"/>
        <v>1</v>
      </c>
    </row>
    <row r="176" spans="1:6" s="13" customFormat="1" ht="45.75" customHeight="1">
      <c r="A176" s="66"/>
      <c r="B176" s="67" t="s">
        <v>326</v>
      </c>
      <c r="C176" s="90" t="s">
        <v>10</v>
      </c>
      <c r="D176" s="52">
        <v>1600000000</v>
      </c>
      <c r="E176" s="52">
        <v>1600000000</v>
      </c>
      <c r="F176" s="14">
        <f t="shared" si="9"/>
        <v>1</v>
      </c>
    </row>
    <row r="177" spans="1:6" s="11" customFormat="1" ht="19.5" customHeight="1">
      <c r="A177" s="66">
        <v>3</v>
      </c>
      <c r="B177" s="71" t="s">
        <v>44</v>
      </c>
      <c r="C177" s="72"/>
      <c r="D177" s="53">
        <f>D178</f>
        <v>1600000000</v>
      </c>
      <c r="E177" s="53">
        <f>E178</f>
        <v>1600000000</v>
      </c>
      <c r="F177" s="18">
        <f aca="true" t="shared" si="10" ref="F177:F182">E177/D177</f>
        <v>1</v>
      </c>
    </row>
    <row r="178" spans="1:6" s="11" customFormat="1" ht="36.75" customHeight="1">
      <c r="A178" s="66"/>
      <c r="B178" s="67" t="s">
        <v>327</v>
      </c>
      <c r="C178" s="90" t="s">
        <v>10</v>
      </c>
      <c r="D178" s="52">
        <v>1600000000</v>
      </c>
      <c r="E178" s="52">
        <v>1600000000</v>
      </c>
      <c r="F178" s="14">
        <f t="shared" si="10"/>
        <v>1</v>
      </c>
    </row>
    <row r="179" spans="1:10" s="16" customFormat="1" ht="19.5" customHeight="1">
      <c r="A179" s="66">
        <v>4</v>
      </c>
      <c r="B179" s="68" t="s">
        <v>45</v>
      </c>
      <c r="C179" s="71"/>
      <c r="D179" s="53">
        <f>D180</f>
        <v>1600000000</v>
      </c>
      <c r="E179" s="53">
        <f>E180</f>
        <v>1600000000</v>
      </c>
      <c r="F179" s="18">
        <f t="shared" si="10"/>
        <v>1</v>
      </c>
      <c r="G179" s="11"/>
      <c r="H179" s="11"/>
      <c r="I179" s="11"/>
      <c r="J179" s="11"/>
    </row>
    <row r="180" spans="1:6" s="11" customFormat="1" ht="36.75" customHeight="1">
      <c r="A180" s="66"/>
      <c r="B180" s="67" t="s">
        <v>174</v>
      </c>
      <c r="C180" s="90" t="s">
        <v>10</v>
      </c>
      <c r="D180" s="52">
        <v>1600000000</v>
      </c>
      <c r="E180" s="52">
        <v>1600000000</v>
      </c>
      <c r="F180" s="14">
        <f t="shared" si="10"/>
        <v>1</v>
      </c>
    </row>
    <row r="181" spans="1:6" s="11" customFormat="1" ht="19.5" customHeight="1">
      <c r="A181" s="77">
        <v>5</v>
      </c>
      <c r="B181" s="71" t="s">
        <v>46</v>
      </c>
      <c r="C181" s="92"/>
      <c r="D181" s="56">
        <f>D182</f>
        <v>1600000000</v>
      </c>
      <c r="E181" s="56">
        <f>E182</f>
        <v>1600000000</v>
      </c>
      <c r="F181" s="18">
        <f t="shared" si="10"/>
        <v>1</v>
      </c>
    </row>
    <row r="182" spans="1:6" s="11" customFormat="1" ht="36.75" customHeight="1">
      <c r="A182" s="66"/>
      <c r="B182" s="67" t="s">
        <v>175</v>
      </c>
      <c r="C182" s="90" t="s">
        <v>10</v>
      </c>
      <c r="D182" s="52">
        <v>1600000000</v>
      </c>
      <c r="E182" s="52">
        <v>1600000000</v>
      </c>
      <c r="F182" s="14">
        <f t="shared" si="10"/>
        <v>1</v>
      </c>
    </row>
    <row r="183" spans="1:6" s="11" customFormat="1" ht="19.5" customHeight="1">
      <c r="A183" s="66">
        <v>6</v>
      </c>
      <c r="B183" s="71" t="s">
        <v>47</v>
      </c>
      <c r="C183" s="68"/>
      <c r="D183" s="53">
        <f>D184</f>
        <v>1600000000</v>
      </c>
      <c r="E183" s="53">
        <f>E184</f>
        <v>1600000000</v>
      </c>
      <c r="F183" s="18">
        <f>F184</f>
        <v>1</v>
      </c>
    </row>
    <row r="184" spans="1:6" s="11" customFormat="1" ht="36" customHeight="1">
      <c r="A184" s="66"/>
      <c r="B184" s="67" t="s">
        <v>328</v>
      </c>
      <c r="C184" s="90" t="s">
        <v>10</v>
      </c>
      <c r="D184" s="52">
        <v>1600000000</v>
      </c>
      <c r="E184" s="52">
        <v>1600000000</v>
      </c>
      <c r="F184" s="14">
        <f>E184/D184</f>
        <v>1</v>
      </c>
    </row>
    <row r="185" spans="1:6" s="10" customFormat="1" ht="19.5" customHeight="1">
      <c r="A185" s="73" t="s">
        <v>124</v>
      </c>
      <c r="B185" s="74" t="s">
        <v>125</v>
      </c>
      <c r="C185" s="95"/>
      <c r="D185" s="55">
        <f>D186+D191+D194+D196+D199+D202+D205</f>
        <v>23600000000</v>
      </c>
      <c r="E185" s="55">
        <f>E186+E191+E194+E196+E199+E202+E205</f>
        <v>12000000000</v>
      </c>
      <c r="F185" s="22">
        <f aca="true" t="shared" si="11" ref="F185:F197">E185/D185</f>
        <v>0.5084745762711864</v>
      </c>
    </row>
    <row r="186" spans="1:6" s="11" customFormat="1" ht="19.5" customHeight="1">
      <c r="A186" s="66">
        <v>1</v>
      </c>
      <c r="B186" s="71" t="s">
        <v>48</v>
      </c>
      <c r="C186" s="71"/>
      <c r="D186" s="53">
        <f>SUM(D187:D190)</f>
        <v>14600000000</v>
      </c>
      <c r="E186" s="53">
        <f>SUM(E187:E190)</f>
        <v>3000000000</v>
      </c>
      <c r="F186" s="18">
        <f t="shared" si="11"/>
        <v>0.2054794520547945</v>
      </c>
    </row>
    <row r="187" spans="1:6" s="11" customFormat="1" ht="36.75" customHeight="1">
      <c r="A187" s="66"/>
      <c r="B187" s="67" t="s">
        <v>176</v>
      </c>
      <c r="C187" s="70" t="s">
        <v>147</v>
      </c>
      <c r="D187" s="52">
        <v>5000000000</v>
      </c>
      <c r="E187" s="52"/>
      <c r="F187" s="14">
        <f t="shared" si="11"/>
        <v>0</v>
      </c>
    </row>
    <row r="188" spans="1:6" s="11" customFormat="1" ht="36.75" customHeight="1">
      <c r="A188" s="66"/>
      <c r="B188" s="67" t="s">
        <v>176</v>
      </c>
      <c r="C188" s="70" t="s">
        <v>409</v>
      </c>
      <c r="D188" s="52">
        <v>3000000000</v>
      </c>
      <c r="E188" s="52">
        <v>3000000000</v>
      </c>
      <c r="F188" s="14">
        <f t="shared" si="11"/>
        <v>1</v>
      </c>
    </row>
    <row r="189" spans="1:6" s="11" customFormat="1" ht="44.25" customHeight="1">
      <c r="A189" s="66"/>
      <c r="B189" s="67" t="s">
        <v>329</v>
      </c>
      <c r="C189" s="70" t="s">
        <v>147</v>
      </c>
      <c r="D189" s="52">
        <v>5100000000</v>
      </c>
      <c r="E189" s="52"/>
      <c r="F189" s="14">
        <f t="shared" si="11"/>
        <v>0</v>
      </c>
    </row>
    <row r="190" spans="1:6" s="11" customFormat="1" ht="46.5" customHeight="1">
      <c r="A190" s="66"/>
      <c r="B190" s="67" t="s">
        <v>329</v>
      </c>
      <c r="C190" s="70" t="s">
        <v>149</v>
      </c>
      <c r="D190" s="52">
        <v>1500000000</v>
      </c>
      <c r="E190" s="52"/>
      <c r="F190" s="14">
        <f t="shared" si="11"/>
        <v>0</v>
      </c>
    </row>
    <row r="191" spans="1:6" s="11" customFormat="1" ht="19.5" customHeight="1">
      <c r="A191" s="66">
        <v>2</v>
      </c>
      <c r="B191" s="71" t="s">
        <v>331</v>
      </c>
      <c r="C191" s="71"/>
      <c r="D191" s="53">
        <f>D192+D193</f>
        <v>1800000000</v>
      </c>
      <c r="E191" s="53">
        <f>E192+E193</f>
        <v>1800000000</v>
      </c>
      <c r="F191" s="18">
        <f t="shared" si="11"/>
        <v>1</v>
      </c>
    </row>
    <row r="192" spans="1:6" s="11" customFormat="1" ht="25.5" customHeight="1">
      <c r="A192" s="66"/>
      <c r="B192" s="83" t="s">
        <v>343</v>
      </c>
      <c r="C192" s="70" t="s">
        <v>149</v>
      </c>
      <c r="D192" s="52">
        <v>1000000000</v>
      </c>
      <c r="E192" s="52">
        <v>1000000000</v>
      </c>
      <c r="F192" s="97">
        <f t="shared" si="11"/>
        <v>1</v>
      </c>
    </row>
    <row r="193" spans="1:6" s="33" customFormat="1" ht="47.25" customHeight="1">
      <c r="A193" s="84"/>
      <c r="B193" s="87" t="s">
        <v>334</v>
      </c>
      <c r="C193" s="90" t="s">
        <v>10</v>
      </c>
      <c r="D193" s="59">
        <v>800000000</v>
      </c>
      <c r="E193" s="59">
        <v>800000000</v>
      </c>
      <c r="F193" s="97">
        <f t="shared" si="11"/>
        <v>1</v>
      </c>
    </row>
    <row r="194" spans="1:6" s="11" customFormat="1" ht="19.5" customHeight="1">
      <c r="A194" s="77">
        <v>3</v>
      </c>
      <c r="B194" s="71" t="s">
        <v>332</v>
      </c>
      <c r="C194" s="92"/>
      <c r="D194" s="56">
        <f>D195</f>
        <v>800000000</v>
      </c>
      <c r="E194" s="56">
        <f>E195</f>
        <v>800000000</v>
      </c>
      <c r="F194" s="18">
        <f t="shared" si="11"/>
        <v>1</v>
      </c>
    </row>
    <row r="195" spans="1:6" s="33" customFormat="1" ht="36.75" customHeight="1">
      <c r="A195" s="84"/>
      <c r="B195" s="87" t="s">
        <v>335</v>
      </c>
      <c r="C195" s="90" t="s">
        <v>10</v>
      </c>
      <c r="D195" s="59">
        <v>800000000</v>
      </c>
      <c r="E195" s="59">
        <v>800000000</v>
      </c>
      <c r="F195" s="97">
        <f t="shared" si="11"/>
        <v>1</v>
      </c>
    </row>
    <row r="196" spans="1:6" s="11" customFormat="1" ht="19.5" customHeight="1">
      <c r="A196" s="66">
        <v>4</v>
      </c>
      <c r="B196" s="71" t="s">
        <v>49</v>
      </c>
      <c r="C196" s="72"/>
      <c r="D196" s="53">
        <f>D197+D198</f>
        <v>1600000000</v>
      </c>
      <c r="E196" s="53">
        <f>E197+E198</f>
        <v>1600000000</v>
      </c>
      <c r="F196" s="116">
        <f t="shared" si="11"/>
        <v>1</v>
      </c>
    </row>
    <row r="197" spans="1:6" s="33" customFormat="1" ht="48" customHeight="1">
      <c r="A197" s="84"/>
      <c r="B197" s="87" t="s">
        <v>339</v>
      </c>
      <c r="C197" s="90" t="s">
        <v>10</v>
      </c>
      <c r="D197" s="59">
        <v>800000000</v>
      </c>
      <c r="E197" s="59">
        <v>800000000</v>
      </c>
      <c r="F197" s="97">
        <f t="shared" si="11"/>
        <v>1</v>
      </c>
    </row>
    <row r="198" spans="1:6" s="34" customFormat="1" ht="31.5" customHeight="1">
      <c r="A198" s="66"/>
      <c r="B198" s="82" t="s">
        <v>330</v>
      </c>
      <c r="C198" s="90" t="s">
        <v>10</v>
      </c>
      <c r="D198" s="54">
        <v>800000000</v>
      </c>
      <c r="E198" s="54">
        <v>800000000</v>
      </c>
      <c r="F198" s="19">
        <f>E198/D198</f>
        <v>1</v>
      </c>
    </row>
    <row r="199" spans="1:6" s="11" customFormat="1" ht="19.5" customHeight="1">
      <c r="A199" s="66">
        <v>5</v>
      </c>
      <c r="B199" s="71" t="s">
        <v>50</v>
      </c>
      <c r="C199" s="71"/>
      <c r="D199" s="53">
        <f>D200+D201</f>
        <v>1600000000</v>
      </c>
      <c r="E199" s="53">
        <f>E200+E201</f>
        <v>1600000000</v>
      </c>
      <c r="F199" s="18">
        <f aca="true" t="shared" si="12" ref="F199:F220">E199/D199</f>
        <v>1</v>
      </c>
    </row>
    <row r="200" spans="1:6" s="33" customFormat="1" ht="36.75" customHeight="1">
      <c r="A200" s="84"/>
      <c r="B200" s="87" t="s">
        <v>336</v>
      </c>
      <c r="C200" s="90" t="s">
        <v>10</v>
      </c>
      <c r="D200" s="59">
        <v>800000000</v>
      </c>
      <c r="E200" s="59">
        <v>800000000</v>
      </c>
      <c r="F200" s="97">
        <f t="shared" si="12"/>
        <v>1</v>
      </c>
    </row>
    <row r="201" spans="1:6" s="33" customFormat="1" ht="36.75" customHeight="1">
      <c r="A201" s="84"/>
      <c r="B201" s="87" t="s">
        <v>340</v>
      </c>
      <c r="C201" s="117" t="s">
        <v>10</v>
      </c>
      <c r="D201" s="59">
        <v>800000000</v>
      </c>
      <c r="E201" s="59">
        <v>800000000</v>
      </c>
      <c r="F201" s="97">
        <f t="shared" si="12"/>
        <v>1</v>
      </c>
    </row>
    <row r="202" spans="1:6" s="11" customFormat="1" ht="19.5" customHeight="1">
      <c r="A202" s="66">
        <v>6</v>
      </c>
      <c r="B202" s="71" t="s">
        <v>51</v>
      </c>
      <c r="C202" s="72"/>
      <c r="D202" s="53">
        <f>D203+D204</f>
        <v>1600000000</v>
      </c>
      <c r="E202" s="53">
        <f>E203+E204</f>
        <v>1600000000</v>
      </c>
      <c r="F202" s="18">
        <f t="shared" si="12"/>
        <v>1</v>
      </c>
    </row>
    <row r="203" spans="1:6" s="33" customFormat="1" ht="35.25" customHeight="1">
      <c r="A203" s="84"/>
      <c r="B203" s="87" t="s">
        <v>337</v>
      </c>
      <c r="C203" s="90" t="s">
        <v>10</v>
      </c>
      <c r="D203" s="59">
        <f>+D204</f>
        <v>800000000</v>
      </c>
      <c r="E203" s="59">
        <v>800000000</v>
      </c>
      <c r="F203" s="14">
        <f t="shared" si="12"/>
        <v>1</v>
      </c>
    </row>
    <row r="204" spans="1:6" s="33" customFormat="1" ht="36.75" customHeight="1">
      <c r="A204" s="84"/>
      <c r="B204" s="87" t="s">
        <v>341</v>
      </c>
      <c r="C204" s="117" t="s">
        <v>10</v>
      </c>
      <c r="D204" s="59">
        <v>800000000</v>
      </c>
      <c r="E204" s="59">
        <v>800000000</v>
      </c>
      <c r="F204" s="97">
        <f t="shared" si="12"/>
        <v>1</v>
      </c>
    </row>
    <row r="205" spans="1:6" s="11" customFormat="1" ht="23.25" customHeight="1">
      <c r="A205" s="66">
        <v>7</v>
      </c>
      <c r="B205" s="71" t="s">
        <v>333</v>
      </c>
      <c r="C205" s="90"/>
      <c r="D205" s="53">
        <f>D206+D207</f>
        <v>1600000000</v>
      </c>
      <c r="E205" s="53">
        <f>E206+E207</f>
        <v>1600000000</v>
      </c>
      <c r="F205" s="116">
        <f t="shared" si="12"/>
        <v>1</v>
      </c>
    </row>
    <row r="206" spans="1:6" s="11" customFormat="1" ht="56.25" customHeight="1">
      <c r="A206" s="66"/>
      <c r="B206" s="87" t="s">
        <v>338</v>
      </c>
      <c r="C206" s="90" t="s">
        <v>10</v>
      </c>
      <c r="D206" s="59">
        <v>800000000</v>
      </c>
      <c r="E206" s="52">
        <v>800000000</v>
      </c>
      <c r="F206" s="97">
        <f t="shared" si="12"/>
        <v>1</v>
      </c>
    </row>
    <row r="207" spans="1:6" s="11" customFormat="1" ht="52.5" customHeight="1">
      <c r="A207" s="66"/>
      <c r="B207" s="87" t="s">
        <v>342</v>
      </c>
      <c r="C207" s="90" t="s">
        <v>10</v>
      </c>
      <c r="D207" s="59">
        <v>800000000</v>
      </c>
      <c r="E207" s="52">
        <v>800000000</v>
      </c>
      <c r="F207" s="97">
        <f t="shared" si="12"/>
        <v>1</v>
      </c>
    </row>
    <row r="208" spans="1:6" s="10" customFormat="1" ht="27" customHeight="1">
      <c r="A208" s="73" t="s">
        <v>126</v>
      </c>
      <c r="B208" s="74" t="s">
        <v>127</v>
      </c>
      <c r="C208" s="95"/>
      <c r="D208" s="55">
        <f>D209+D221+D226+D230+D233+D236+D238</f>
        <v>78597568000</v>
      </c>
      <c r="E208" s="55">
        <f>E209+E221+E226+E230+E233+E236+E238</f>
        <v>68740267953</v>
      </c>
      <c r="F208" s="116">
        <f t="shared" si="12"/>
        <v>0.874585177406507</v>
      </c>
    </row>
    <row r="209" spans="1:6" s="11" customFormat="1" ht="19.5" customHeight="1">
      <c r="A209" s="66">
        <v>1</v>
      </c>
      <c r="B209" s="71" t="s">
        <v>52</v>
      </c>
      <c r="C209" s="71"/>
      <c r="D209" s="53">
        <f>SUM(D210:D220)</f>
        <v>64419000000</v>
      </c>
      <c r="E209" s="53">
        <f>SUM(E210:E220)</f>
        <v>55815466000</v>
      </c>
      <c r="F209" s="18">
        <f t="shared" si="12"/>
        <v>0.866444154674863</v>
      </c>
    </row>
    <row r="210" spans="1:6" s="11" customFormat="1" ht="36.75" customHeight="1">
      <c r="A210" s="66"/>
      <c r="B210" s="67" t="s">
        <v>177</v>
      </c>
      <c r="C210" s="70" t="s">
        <v>147</v>
      </c>
      <c r="D210" s="52">
        <v>2800000000</v>
      </c>
      <c r="E210" s="52">
        <f>1007690000+250000000+1322749000+56542000+163019000</f>
        <v>2800000000</v>
      </c>
      <c r="F210" s="14">
        <f t="shared" si="12"/>
        <v>1</v>
      </c>
    </row>
    <row r="211" spans="1:6" s="11" customFormat="1" ht="36.75" customHeight="1">
      <c r="A211" s="66"/>
      <c r="B211" s="67" t="s">
        <v>202</v>
      </c>
      <c r="C211" s="70" t="s">
        <v>147</v>
      </c>
      <c r="D211" s="52">
        <v>6000000000</v>
      </c>
      <c r="E211" s="52">
        <f>4718000000+147144000+358115000+321294000+157904000+297543000</f>
        <v>6000000000</v>
      </c>
      <c r="F211" s="14">
        <f t="shared" si="12"/>
        <v>1</v>
      </c>
    </row>
    <row r="212" spans="1:10" s="16" customFormat="1" ht="36.75" customHeight="1">
      <c r="A212" s="66"/>
      <c r="B212" s="67" t="s">
        <v>53</v>
      </c>
      <c r="C212" s="70" t="s">
        <v>147</v>
      </c>
      <c r="D212" s="52">
        <v>5000000000</v>
      </c>
      <c r="E212" s="52">
        <v>5000000000</v>
      </c>
      <c r="F212" s="14">
        <f t="shared" si="12"/>
        <v>1</v>
      </c>
      <c r="G212" s="11"/>
      <c r="H212" s="11"/>
      <c r="I212" s="11"/>
      <c r="J212" s="11"/>
    </row>
    <row r="213" spans="1:6" s="11" customFormat="1" ht="54.75" customHeight="1">
      <c r="A213" s="66"/>
      <c r="B213" s="67" t="s">
        <v>156</v>
      </c>
      <c r="C213" s="70" t="s">
        <v>147</v>
      </c>
      <c r="D213" s="52">
        <v>7800000000</v>
      </c>
      <c r="E213" s="52">
        <f>3233000000+594245000+887782000+90000+32200000+183043000+1985640000+884000000</f>
        <v>7800000000</v>
      </c>
      <c r="F213" s="14">
        <f t="shared" si="12"/>
        <v>1</v>
      </c>
    </row>
    <row r="214" spans="1:6" s="11" customFormat="1" ht="54.75" customHeight="1">
      <c r="A214" s="66"/>
      <c r="B214" s="67" t="s">
        <v>344</v>
      </c>
      <c r="C214" s="70" t="s">
        <v>147</v>
      </c>
      <c r="D214" s="52">
        <v>10000000000</v>
      </c>
      <c r="E214" s="52">
        <f>7000000000+493769000+451183000</f>
        <v>7944952000</v>
      </c>
      <c r="F214" s="14">
        <f t="shared" si="12"/>
        <v>0.7944952</v>
      </c>
    </row>
    <row r="215" spans="1:6" s="11" customFormat="1" ht="56.25" customHeight="1">
      <c r="A215" s="66"/>
      <c r="B215" s="67" t="s">
        <v>345</v>
      </c>
      <c r="C215" s="70" t="s">
        <v>147</v>
      </c>
      <c r="D215" s="52">
        <v>8000000000</v>
      </c>
      <c r="E215" s="52">
        <f>6798571000+60999000+1140430000</f>
        <v>8000000000</v>
      </c>
      <c r="F215" s="14">
        <f t="shared" si="12"/>
        <v>1</v>
      </c>
    </row>
    <row r="216" spans="1:6" s="11" customFormat="1" ht="54.75" customHeight="1">
      <c r="A216" s="66"/>
      <c r="B216" s="67" t="s">
        <v>346</v>
      </c>
      <c r="C216" s="83" t="s">
        <v>149</v>
      </c>
      <c r="D216" s="52">
        <v>4500000000</v>
      </c>
      <c r="E216" s="52"/>
      <c r="F216" s="14">
        <f t="shared" si="12"/>
        <v>0</v>
      </c>
    </row>
    <row r="217" spans="1:6" s="11" customFormat="1" ht="54.75" customHeight="1">
      <c r="A217" s="66"/>
      <c r="B217" s="67" t="s">
        <v>203</v>
      </c>
      <c r="C217" s="70" t="s">
        <v>147</v>
      </c>
      <c r="D217" s="52">
        <v>4000000000</v>
      </c>
      <c r="E217" s="52">
        <f>1189085000+42543000+1064588000+1703784000</f>
        <v>4000000000</v>
      </c>
      <c r="F217" s="14">
        <f t="shared" si="12"/>
        <v>1</v>
      </c>
    </row>
    <row r="218" spans="1:6" s="13" customFormat="1" ht="44.25" customHeight="1">
      <c r="A218" s="66"/>
      <c r="B218" s="67" t="s">
        <v>347</v>
      </c>
      <c r="C218" s="70" t="s">
        <v>147</v>
      </c>
      <c r="D218" s="52">
        <v>12000000000</v>
      </c>
      <c r="E218" s="52">
        <v>12000000000</v>
      </c>
      <c r="F218" s="14">
        <f t="shared" si="12"/>
        <v>1</v>
      </c>
    </row>
    <row r="219" spans="1:6" s="11" customFormat="1" ht="36.75" customHeight="1">
      <c r="A219" s="66"/>
      <c r="B219" s="67" t="s">
        <v>53</v>
      </c>
      <c r="C219" s="83" t="s">
        <v>149</v>
      </c>
      <c r="D219" s="52">
        <v>2300000000</v>
      </c>
      <c r="E219" s="52">
        <v>2270514000</v>
      </c>
      <c r="F219" s="14">
        <f t="shared" si="12"/>
        <v>0.98718</v>
      </c>
    </row>
    <row r="220" spans="1:6" s="11" customFormat="1" ht="57.75" customHeight="1">
      <c r="A220" s="66"/>
      <c r="B220" s="67" t="s">
        <v>203</v>
      </c>
      <c r="C220" s="83" t="s">
        <v>149</v>
      </c>
      <c r="D220" s="52">
        <v>2019000000</v>
      </c>
      <c r="E220" s="52"/>
      <c r="F220" s="14">
        <f t="shared" si="12"/>
        <v>0</v>
      </c>
    </row>
    <row r="221" spans="1:6" s="11" customFormat="1" ht="19.5" customHeight="1">
      <c r="A221" s="66">
        <v>2</v>
      </c>
      <c r="B221" s="71" t="s">
        <v>348</v>
      </c>
      <c r="C221" s="71"/>
      <c r="D221" s="53">
        <f>D222+D223+D224+D225</f>
        <v>5530000000</v>
      </c>
      <c r="E221" s="53">
        <f>E222+E223+E224+E225</f>
        <v>5530000000</v>
      </c>
      <c r="F221" s="18">
        <f aca="true" t="shared" si="13" ref="F221:F239">E221/D221</f>
        <v>1</v>
      </c>
    </row>
    <row r="222" spans="1:10" s="16" customFormat="1" ht="36.75" customHeight="1">
      <c r="A222" s="66"/>
      <c r="B222" s="67" t="s">
        <v>349</v>
      </c>
      <c r="C222" s="70" t="s">
        <v>151</v>
      </c>
      <c r="D222" s="52">
        <v>1500000000</v>
      </c>
      <c r="E222" s="52">
        <v>1500000000</v>
      </c>
      <c r="F222" s="14">
        <f t="shared" si="13"/>
        <v>1</v>
      </c>
      <c r="G222" s="11"/>
      <c r="H222" s="11"/>
      <c r="I222" s="11"/>
      <c r="J222" s="11"/>
    </row>
    <row r="223" spans="1:6" s="11" customFormat="1" ht="36.75" customHeight="1">
      <c r="A223" s="69"/>
      <c r="B223" s="67" t="s">
        <v>352</v>
      </c>
      <c r="C223" s="83" t="s">
        <v>149</v>
      </c>
      <c r="D223" s="52">
        <v>1000000000</v>
      </c>
      <c r="E223" s="52">
        <v>1000000000</v>
      </c>
      <c r="F223" s="14">
        <f t="shared" si="13"/>
        <v>1</v>
      </c>
    </row>
    <row r="224" spans="1:6" s="33" customFormat="1" ht="36.75" customHeight="1">
      <c r="A224" s="85"/>
      <c r="B224" s="87" t="s">
        <v>353</v>
      </c>
      <c r="C224" s="117" t="s">
        <v>10</v>
      </c>
      <c r="D224" s="59">
        <v>1540000000</v>
      </c>
      <c r="E224" s="59">
        <v>1540000000</v>
      </c>
      <c r="F224" s="97">
        <f t="shared" si="13"/>
        <v>1</v>
      </c>
    </row>
    <row r="225" spans="1:6" s="33" customFormat="1" ht="33" customHeight="1">
      <c r="A225" s="85"/>
      <c r="B225" s="87" t="s">
        <v>354</v>
      </c>
      <c r="C225" s="117" t="s">
        <v>10</v>
      </c>
      <c r="D225" s="59">
        <v>1490000000</v>
      </c>
      <c r="E225" s="59">
        <v>1490000000</v>
      </c>
      <c r="F225" s="97">
        <f t="shared" si="13"/>
        <v>1</v>
      </c>
    </row>
    <row r="226" spans="1:6" s="11" customFormat="1" ht="19.5" customHeight="1">
      <c r="A226" s="66">
        <v>3</v>
      </c>
      <c r="B226" s="68" t="s">
        <v>54</v>
      </c>
      <c r="C226" s="72"/>
      <c r="D226" s="53">
        <f>D227+D228+D229</f>
        <v>3672000000</v>
      </c>
      <c r="E226" s="53">
        <f>E227+E228+E229</f>
        <v>3672000000</v>
      </c>
      <c r="F226" s="116">
        <f t="shared" si="13"/>
        <v>1</v>
      </c>
    </row>
    <row r="227" spans="1:6" s="33" customFormat="1" ht="32.25" customHeight="1">
      <c r="A227" s="84"/>
      <c r="B227" s="87" t="s">
        <v>355</v>
      </c>
      <c r="C227" s="117" t="s">
        <v>10</v>
      </c>
      <c r="D227" s="59">
        <v>1394000000</v>
      </c>
      <c r="E227" s="59">
        <v>1394000000</v>
      </c>
      <c r="F227" s="97">
        <f t="shared" si="13"/>
        <v>1</v>
      </c>
    </row>
    <row r="228" spans="1:6" s="33" customFormat="1" ht="33.75" customHeight="1">
      <c r="A228" s="84"/>
      <c r="B228" s="87" t="s">
        <v>357</v>
      </c>
      <c r="C228" s="117" t="s">
        <v>10</v>
      </c>
      <c r="D228" s="59">
        <v>1428000000</v>
      </c>
      <c r="E228" s="59">
        <v>1428000000</v>
      </c>
      <c r="F228" s="97">
        <f t="shared" si="13"/>
        <v>1</v>
      </c>
    </row>
    <row r="229" spans="1:6" s="33" customFormat="1" ht="41.25" customHeight="1">
      <c r="A229" s="118"/>
      <c r="B229" s="87" t="s">
        <v>356</v>
      </c>
      <c r="C229" s="117" t="s">
        <v>10</v>
      </c>
      <c r="D229" s="119">
        <v>850000000</v>
      </c>
      <c r="E229" s="119">
        <v>850000000</v>
      </c>
      <c r="F229" s="97">
        <f t="shared" si="13"/>
        <v>1</v>
      </c>
    </row>
    <row r="230" spans="1:6" s="11" customFormat="1" ht="19.5" customHeight="1">
      <c r="A230" s="77">
        <v>4</v>
      </c>
      <c r="B230" s="71" t="s">
        <v>55</v>
      </c>
      <c r="C230" s="92"/>
      <c r="D230" s="56">
        <f>D232+D231</f>
        <v>1195000000</v>
      </c>
      <c r="E230" s="56">
        <f>E232+E231</f>
        <v>1195000000</v>
      </c>
      <c r="F230" s="18">
        <f t="shared" si="13"/>
        <v>1</v>
      </c>
    </row>
    <row r="231" spans="1:6" s="11" customFormat="1" ht="31.5" customHeight="1">
      <c r="A231" s="77"/>
      <c r="B231" s="67" t="s">
        <v>427</v>
      </c>
      <c r="C231" s="90" t="s">
        <v>10</v>
      </c>
      <c r="D231" s="57">
        <v>700000000</v>
      </c>
      <c r="E231" s="57">
        <v>700000000</v>
      </c>
      <c r="F231" s="14">
        <f t="shared" si="13"/>
        <v>1</v>
      </c>
    </row>
    <row r="232" spans="1:6" s="11" customFormat="1" ht="36.75" customHeight="1">
      <c r="A232" s="66"/>
      <c r="B232" s="67" t="s">
        <v>204</v>
      </c>
      <c r="C232" s="90" t="s">
        <v>10</v>
      </c>
      <c r="D232" s="52">
        <v>495000000</v>
      </c>
      <c r="E232" s="52">
        <v>495000000</v>
      </c>
      <c r="F232" s="14">
        <f t="shared" si="13"/>
        <v>1</v>
      </c>
    </row>
    <row r="233" spans="1:6" s="11" customFormat="1" ht="19.5" customHeight="1">
      <c r="A233" s="66">
        <v>5</v>
      </c>
      <c r="B233" s="71" t="s">
        <v>56</v>
      </c>
      <c r="C233" s="72"/>
      <c r="D233" s="53">
        <f>D234+D235</f>
        <v>2678568000</v>
      </c>
      <c r="E233" s="53">
        <f>E234+E235</f>
        <v>1424801953</v>
      </c>
      <c r="F233" s="14">
        <f t="shared" si="13"/>
        <v>0.5319267433195648</v>
      </c>
    </row>
    <row r="234" spans="1:6" s="12" customFormat="1" ht="19.5" customHeight="1">
      <c r="A234" s="69"/>
      <c r="B234" s="83" t="s">
        <v>350</v>
      </c>
      <c r="C234" s="90" t="s">
        <v>151</v>
      </c>
      <c r="D234" s="52">
        <v>1500000000</v>
      </c>
      <c r="E234" s="52">
        <v>500000000</v>
      </c>
      <c r="F234" s="14">
        <f t="shared" si="13"/>
        <v>0.3333333333333333</v>
      </c>
    </row>
    <row r="235" spans="1:6" s="35" customFormat="1" ht="39" customHeight="1">
      <c r="A235" s="69"/>
      <c r="B235" s="83" t="s">
        <v>436</v>
      </c>
      <c r="C235" s="90" t="s">
        <v>439</v>
      </c>
      <c r="D235" s="52">
        <v>1178568000</v>
      </c>
      <c r="E235" s="52">
        <f>828078000+96723953</f>
        <v>924801953</v>
      </c>
      <c r="F235" s="14">
        <f t="shared" si="13"/>
        <v>0.7846827276830866</v>
      </c>
    </row>
    <row r="236" spans="1:6" s="11" customFormat="1" ht="19.5" customHeight="1">
      <c r="A236" s="66">
        <v>6</v>
      </c>
      <c r="B236" s="71" t="s">
        <v>241</v>
      </c>
      <c r="C236" s="72"/>
      <c r="D236" s="53">
        <f>SUM(D237:D237)</f>
        <v>1000000000</v>
      </c>
      <c r="E236" s="53">
        <f>SUM(E237:E237)</f>
        <v>1000000000</v>
      </c>
      <c r="F236" s="18">
        <f t="shared" si="13"/>
        <v>1</v>
      </c>
    </row>
    <row r="237" spans="1:6" s="12" customFormat="1" ht="33" customHeight="1">
      <c r="A237" s="69"/>
      <c r="B237" s="67" t="s">
        <v>351</v>
      </c>
      <c r="C237" s="83" t="s">
        <v>149</v>
      </c>
      <c r="D237" s="52">
        <v>1000000000</v>
      </c>
      <c r="E237" s="52">
        <v>1000000000</v>
      </c>
      <c r="F237" s="14">
        <f t="shared" si="13"/>
        <v>1</v>
      </c>
    </row>
    <row r="238" spans="1:6" s="12" customFormat="1" ht="19.5" customHeight="1">
      <c r="A238" s="69">
        <v>7</v>
      </c>
      <c r="B238" s="71" t="s">
        <v>423</v>
      </c>
      <c r="C238" s="83"/>
      <c r="D238" s="53">
        <f>D239</f>
        <v>103000000</v>
      </c>
      <c r="E238" s="53">
        <f>E239</f>
        <v>103000000</v>
      </c>
      <c r="F238" s="18">
        <f t="shared" si="13"/>
        <v>1</v>
      </c>
    </row>
    <row r="239" spans="1:6" s="12" customFormat="1" ht="25.5" customHeight="1">
      <c r="A239" s="69"/>
      <c r="B239" s="67" t="s">
        <v>424</v>
      </c>
      <c r="C239" s="90" t="s">
        <v>10</v>
      </c>
      <c r="D239" s="52">
        <v>103000000</v>
      </c>
      <c r="E239" s="52">
        <v>103000000</v>
      </c>
      <c r="F239" s="14">
        <f t="shared" si="13"/>
        <v>1</v>
      </c>
    </row>
    <row r="240" spans="1:6" s="10" customFormat="1" ht="19.5" customHeight="1">
      <c r="A240" s="73" t="s">
        <v>128</v>
      </c>
      <c r="B240" s="74" t="s">
        <v>129</v>
      </c>
      <c r="C240" s="95"/>
      <c r="D240" s="55">
        <f>D241+D250+D252+D254+D257+D260+D264+D266</f>
        <v>82334707000</v>
      </c>
      <c r="E240" s="55">
        <f>E241+E250+E252+E254+E257+E260+E264+E266</f>
        <v>67963921000</v>
      </c>
      <c r="F240" s="22">
        <f aca="true" t="shared" si="14" ref="F240:F249">E240/D240</f>
        <v>0.8254589525654108</v>
      </c>
    </row>
    <row r="241" spans="1:6" s="11" customFormat="1" ht="19.5" customHeight="1">
      <c r="A241" s="66">
        <v>1</v>
      </c>
      <c r="B241" s="71" t="s">
        <v>57</v>
      </c>
      <c r="C241" s="71"/>
      <c r="D241" s="53">
        <f>SUM(D242:D249)</f>
        <v>59524707000</v>
      </c>
      <c r="E241" s="53">
        <f>SUM(E242:E249)</f>
        <v>48853892000</v>
      </c>
      <c r="F241" s="36">
        <f t="shared" si="14"/>
        <v>0.8207330109159546</v>
      </c>
    </row>
    <row r="242" spans="1:6" s="11" customFormat="1" ht="36.75" customHeight="1">
      <c r="A242" s="66"/>
      <c r="B242" s="67" t="s">
        <v>164</v>
      </c>
      <c r="C242" s="70" t="s">
        <v>147</v>
      </c>
      <c r="D242" s="52">
        <v>7000000000</v>
      </c>
      <c r="E242" s="52">
        <f>3804185000+380000000</f>
        <v>4184185000</v>
      </c>
      <c r="F242" s="14">
        <f t="shared" si="14"/>
        <v>0.5977407142857143</v>
      </c>
    </row>
    <row r="243" spans="1:6" s="11" customFormat="1" ht="19.5" customHeight="1">
      <c r="A243" s="66"/>
      <c r="B243" s="67" t="s">
        <v>58</v>
      </c>
      <c r="C243" s="70" t="s">
        <v>147</v>
      </c>
      <c r="D243" s="52">
        <v>2000000000</v>
      </c>
      <c r="E243" s="52">
        <f>618764000+91244000+100919000+41084000</f>
        <v>852011000</v>
      </c>
      <c r="F243" s="14">
        <f t="shared" si="14"/>
        <v>0.4260055</v>
      </c>
    </row>
    <row r="244" spans="1:6" s="11" customFormat="1" ht="36.75" customHeight="1">
      <c r="A244" s="66"/>
      <c r="B244" s="67" t="s">
        <v>178</v>
      </c>
      <c r="C244" s="70" t="s">
        <v>147</v>
      </c>
      <c r="D244" s="52">
        <v>11000000000</v>
      </c>
      <c r="E244" s="52">
        <v>11000000000</v>
      </c>
      <c r="F244" s="14">
        <f t="shared" si="14"/>
        <v>1</v>
      </c>
    </row>
    <row r="245" spans="1:6" s="11" customFormat="1" ht="36.75" customHeight="1">
      <c r="A245" s="66"/>
      <c r="B245" s="67" t="s">
        <v>178</v>
      </c>
      <c r="C245" s="83" t="s">
        <v>149</v>
      </c>
      <c r="D245" s="52">
        <v>2000000000</v>
      </c>
      <c r="E245" s="52">
        <f>1878897000+121103000</f>
        <v>2000000000</v>
      </c>
      <c r="F245" s="14">
        <f t="shared" si="14"/>
        <v>1</v>
      </c>
    </row>
    <row r="246" spans="1:10" s="16" customFormat="1" ht="36.75" customHeight="1">
      <c r="A246" s="66"/>
      <c r="B246" s="67" t="s">
        <v>358</v>
      </c>
      <c r="C246" s="70" t="s">
        <v>147</v>
      </c>
      <c r="D246" s="52">
        <v>10000000000</v>
      </c>
      <c r="E246" s="52">
        <f>5000000000+1300000000</f>
        <v>6300000000</v>
      </c>
      <c r="F246" s="14">
        <f t="shared" si="14"/>
        <v>0.63</v>
      </c>
      <c r="G246" s="11"/>
      <c r="H246" s="11"/>
      <c r="I246" s="11"/>
      <c r="J246" s="11"/>
    </row>
    <row r="247" spans="1:6" s="11" customFormat="1" ht="44.25" customHeight="1">
      <c r="A247" s="66"/>
      <c r="B247" s="67" t="s">
        <v>59</v>
      </c>
      <c r="C247" s="83" t="s">
        <v>152</v>
      </c>
      <c r="D247" s="52">
        <v>5000000000</v>
      </c>
      <c r="E247" s="58">
        <f>963384000+77841000+910870000+40898000</f>
        <v>1992993000</v>
      </c>
      <c r="F247" s="14">
        <f t="shared" si="14"/>
        <v>0.3985986</v>
      </c>
    </row>
    <row r="248" spans="1:6" s="11" customFormat="1" ht="44.25" customHeight="1">
      <c r="A248" s="66"/>
      <c r="B248" s="67" t="s">
        <v>465</v>
      </c>
      <c r="C248" s="83" t="s">
        <v>147</v>
      </c>
      <c r="D248" s="52">
        <v>13524707000</v>
      </c>
      <c r="E248" s="58">
        <f>11491808000+1399703000+363192000+170000000+100000000</f>
        <v>13524703000</v>
      </c>
      <c r="F248" s="14">
        <f t="shared" si="14"/>
        <v>0.9999997042449792</v>
      </c>
    </row>
    <row r="249" spans="1:6" s="11" customFormat="1" ht="36.75" customHeight="1">
      <c r="A249" s="66"/>
      <c r="B249" s="67" t="s">
        <v>359</v>
      </c>
      <c r="C249" s="70" t="s">
        <v>147</v>
      </c>
      <c r="D249" s="52">
        <v>9000000000</v>
      </c>
      <c r="E249" s="52">
        <f>8890983000+109017000</f>
        <v>9000000000</v>
      </c>
      <c r="F249" s="14">
        <f t="shared" si="14"/>
        <v>1</v>
      </c>
    </row>
    <row r="250" spans="1:6" s="11" customFormat="1" ht="19.5" customHeight="1">
      <c r="A250" s="66">
        <v>2</v>
      </c>
      <c r="B250" s="71" t="s">
        <v>361</v>
      </c>
      <c r="C250" s="71"/>
      <c r="D250" s="53">
        <f>D251</f>
        <v>1000000000</v>
      </c>
      <c r="E250" s="53">
        <f>E251</f>
        <v>993231000</v>
      </c>
      <c r="F250" s="18">
        <f>F251</f>
        <v>0.993231</v>
      </c>
    </row>
    <row r="251" spans="1:6" s="13" customFormat="1" ht="30.75" customHeight="1">
      <c r="A251" s="66"/>
      <c r="B251" s="67" t="s">
        <v>364</v>
      </c>
      <c r="C251" s="83" t="s">
        <v>149</v>
      </c>
      <c r="D251" s="52">
        <v>1000000000</v>
      </c>
      <c r="E251" s="52">
        <f>118231000+875000000</f>
        <v>993231000</v>
      </c>
      <c r="F251" s="14">
        <f>E251/D251</f>
        <v>0.993231</v>
      </c>
    </row>
    <row r="252" spans="1:6" s="11" customFormat="1" ht="19.5" customHeight="1">
      <c r="A252" s="66">
        <v>3</v>
      </c>
      <c r="B252" s="71" t="s">
        <v>60</v>
      </c>
      <c r="C252" s="68"/>
      <c r="D252" s="53">
        <f>D253</f>
        <v>1000000000</v>
      </c>
      <c r="E252" s="53">
        <f>E253</f>
        <v>998424000</v>
      </c>
      <c r="F252" s="18">
        <f>F253</f>
        <v>0.998424</v>
      </c>
    </row>
    <row r="253" spans="1:6" s="15" customFormat="1" ht="27" customHeight="1">
      <c r="A253" s="66"/>
      <c r="B253" s="67" t="s">
        <v>365</v>
      </c>
      <c r="C253" s="83" t="s">
        <v>149</v>
      </c>
      <c r="D253" s="52">
        <v>1000000000</v>
      </c>
      <c r="E253" s="52">
        <v>998424000</v>
      </c>
      <c r="F253" s="121">
        <f>E253/D253</f>
        <v>0.998424</v>
      </c>
    </row>
    <row r="254" spans="1:6" s="10" customFormat="1" ht="19.5" customHeight="1">
      <c r="A254" s="66">
        <v>4</v>
      </c>
      <c r="B254" s="71" t="s">
        <v>366</v>
      </c>
      <c r="C254" s="71"/>
      <c r="D254" s="53">
        <f>D255+D256</f>
        <v>2300000000</v>
      </c>
      <c r="E254" s="53">
        <f>E255+E256</f>
        <v>2299152000</v>
      </c>
      <c r="F254" s="62">
        <f>E254/D254</f>
        <v>0.9996313043478261</v>
      </c>
    </row>
    <row r="255" spans="1:6" s="10" customFormat="1" ht="31.5" customHeight="1">
      <c r="A255" s="66"/>
      <c r="B255" s="87" t="s">
        <v>372</v>
      </c>
      <c r="C255" s="120" t="s">
        <v>10</v>
      </c>
      <c r="D255" s="59">
        <v>1300000000</v>
      </c>
      <c r="E255" s="59">
        <v>1300000000</v>
      </c>
      <c r="F255" s="121">
        <f>E255/D255</f>
        <v>1</v>
      </c>
    </row>
    <row r="256" spans="1:6" s="11" customFormat="1" ht="34.5" customHeight="1">
      <c r="A256" s="66"/>
      <c r="B256" s="67" t="s">
        <v>367</v>
      </c>
      <c r="C256" s="83" t="s">
        <v>149</v>
      </c>
      <c r="D256" s="52">
        <v>1000000000</v>
      </c>
      <c r="E256" s="52">
        <v>999152000</v>
      </c>
      <c r="F256" s="14">
        <f>E256/D256</f>
        <v>0.999152</v>
      </c>
    </row>
    <row r="257" spans="1:6" s="11" customFormat="1" ht="19.5" customHeight="1">
      <c r="A257" s="66">
        <v>5</v>
      </c>
      <c r="B257" s="71" t="s">
        <v>61</v>
      </c>
      <c r="C257" s="72"/>
      <c r="D257" s="53">
        <f>D258+D259</f>
        <v>2800000000</v>
      </c>
      <c r="E257" s="53">
        <f>E258+E259</f>
        <v>2290000000</v>
      </c>
      <c r="F257" s="18">
        <f>E257/D257</f>
        <v>0.8178571428571428</v>
      </c>
    </row>
    <row r="258" spans="1:6" s="33" customFormat="1" ht="24" customHeight="1">
      <c r="A258" s="84"/>
      <c r="B258" s="87" t="s">
        <v>373</v>
      </c>
      <c r="C258" s="120" t="s">
        <v>10</v>
      </c>
      <c r="D258" s="59">
        <v>1300000000</v>
      </c>
      <c r="E258" s="59">
        <v>1300000000</v>
      </c>
      <c r="F258" s="14">
        <f>F260</f>
        <v>0.753250323774283</v>
      </c>
    </row>
    <row r="259" spans="1:6" s="33" customFormat="1" ht="24.75" customHeight="1">
      <c r="A259" s="84"/>
      <c r="B259" s="87" t="s">
        <v>373</v>
      </c>
      <c r="C259" s="120" t="s">
        <v>10</v>
      </c>
      <c r="D259" s="59">
        <v>1500000000</v>
      </c>
      <c r="E259" s="59">
        <v>990000000</v>
      </c>
      <c r="F259" s="14">
        <f>F261</f>
        <v>0.9688149688149689</v>
      </c>
    </row>
    <row r="260" spans="1:6" s="11" customFormat="1" ht="19.5" customHeight="1">
      <c r="A260" s="66">
        <v>6</v>
      </c>
      <c r="B260" s="68" t="s">
        <v>62</v>
      </c>
      <c r="C260" s="68"/>
      <c r="D260" s="53">
        <f>SUM(D261:D263)</f>
        <v>10810000000</v>
      </c>
      <c r="E260" s="53">
        <f>SUM(E261:E263)</f>
        <v>8142636000</v>
      </c>
      <c r="F260" s="18">
        <f>E260/D260</f>
        <v>0.753250323774283</v>
      </c>
    </row>
    <row r="261" spans="1:6" s="11" customFormat="1" ht="25.5" customHeight="1">
      <c r="A261" s="66"/>
      <c r="B261" s="67" t="s">
        <v>363</v>
      </c>
      <c r="C261" s="70" t="s">
        <v>147</v>
      </c>
      <c r="D261" s="52">
        <v>4810000000</v>
      </c>
      <c r="E261" s="52">
        <f>1590000000+1800000000+1120000000+150000000</f>
        <v>4660000000</v>
      </c>
      <c r="F261" s="14">
        <f>E261/D261</f>
        <v>0.9688149688149689</v>
      </c>
    </row>
    <row r="262" spans="1:6" s="11" customFormat="1" ht="27.75" customHeight="1">
      <c r="A262" s="66"/>
      <c r="B262" s="67" t="s">
        <v>362</v>
      </c>
      <c r="C262" s="83" t="s">
        <v>151</v>
      </c>
      <c r="D262" s="52">
        <v>2000000000</v>
      </c>
      <c r="E262" s="52">
        <f>1854484975+145515025</f>
        <v>2000000000</v>
      </c>
      <c r="F262" s="14">
        <f>E262/D262</f>
        <v>1</v>
      </c>
    </row>
    <row r="263" spans="1:6" s="13" customFormat="1" ht="27" customHeight="1">
      <c r="A263" s="66"/>
      <c r="B263" s="67" t="s">
        <v>360</v>
      </c>
      <c r="C263" s="83" t="s">
        <v>151</v>
      </c>
      <c r="D263" s="52">
        <v>4000000000</v>
      </c>
      <c r="E263" s="52">
        <f>882636000+600000000</f>
        <v>1482636000</v>
      </c>
      <c r="F263" s="14">
        <f>E263/D263</f>
        <v>0.370659</v>
      </c>
    </row>
    <row r="264" spans="1:6" s="11" customFormat="1" ht="19.5" customHeight="1">
      <c r="A264" s="66">
        <v>7</v>
      </c>
      <c r="B264" s="71" t="s">
        <v>63</v>
      </c>
      <c r="C264" s="72"/>
      <c r="D264" s="53">
        <f>D265</f>
        <v>1000000000</v>
      </c>
      <c r="E264" s="53">
        <f>E265</f>
        <v>996586000</v>
      </c>
      <c r="F264" s="18">
        <f>F265</f>
        <v>0.996586</v>
      </c>
    </row>
    <row r="265" spans="1:6" s="11" customFormat="1" ht="33" customHeight="1">
      <c r="A265" s="66"/>
      <c r="B265" s="67" t="s">
        <v>368</v>
      </c>
      <c r="C265" s="83" t="s">
        <v>149</v>
      </c>
      <c r="D265" s="52">
        <v>1000000000</v>
      </c>
      <c r="E265" s="52">
        <v>996586000</v>
      </c>
      <c r="F265" s="14">
        <f aca="true" t="shared" si="15" ref="F265:F270">E265/D265</f>
        <v>0.996586</v>
      </c>
    </row>
    <row r="266" spans="1:6" s="11" customFormat="1" ht="19.5" customHeight="1">
      <c r="A266" s="66">
        <v>8</v>
      </c>
      <c r="B266" s="78" t="s">
        <v>141</v>
      </c>
      <c r="C266" s="68"/>
      <c r="D266" s="53">
        <f>D267+D268+D269</f>
        <v>3900000000</v>
      </c>
      <c r="E266" s="53">
        <f>E267+E268+E269</f>
        <v>3390000000</v>
      </c>
      <c r="F266" s="18">
        <f t="shared" si="15"/>
        <v>0.8692307692307693</v>
      </c>
    </row>
    <row r="267" spans="1:6" s="33" customFormat="1" ht="28.5" customHeight="1">
      <c r="A267" s="84"/>
      <c r="B267" s="87" t="s">
        <v>369</v>
      </c>
      <c r="C267" s="120" t="s">
        <v>10</v>
      </c>
      <c r="D267" s="59">
        <v>1400000000</v>
      </c>
      <c r="E267" s="59">
        <v>1400000000</v>
      </c>
      <c r="F267" s="14">
        <f t="shared" si="15"/>
        <v>1</v>
      </c>
    </row>
    <row r="268" spans="1:6" s="33" customFormat="1" ht="29.25" customHeight="1">
      <c r="A268" s="84"/>
      <c r="B268" s="87" t="s">
        <v>370</v>
      </c>
      <c r="C268" s="120" t="s">
        <v>10</v>
      </c>
      <c r="D268" s="59">
        <v>1000000000</v>
      </c>
      <c r="E268" s="59">
        <v>1000000000</v>
      </c>
      <c r="F268" s="14">
        <f t="shared" si="15"/>
        <v>1</v>
      </c>
    </row>
    <row r="269" spans="1:6" s="33" customFormat="1" ht="32.25" customHeight="1">
      <c r="A269" s="84"/>
      <c r="B269" s="87" t="s">
        <v>371</v>
      </c>
      <c r="C269" s="120" t="s">
        <v>10</v>
      </c>
      <c r="D269" s="59">
        <v>1500000000</v>
      </c>
      <c r="E269" s="59">
        <v>990000000</v>
      </c>
      <c r="F269" s="14">
        <f t="shared" si="15"/>
        <v>0.66</v>
      </c>
    </row>
    <row r="270" spans="1:6" s="10" customFormat="1" ht="24.75" customHeight="1">
      <c r="A270" s="73" t="s">
        <v>130</v>
      </c>
      <c r="B270" s="74" t="s">
        <v>131</v>
      </c>
      <c r="C270" s="95"/>
      <c r="D270" s="55">
        <f>D271+D284+D286+D288+D290+D292+D294+D296</f>
        <v>173022786056</v>
      </c>
      <c r="E270" s="55">
        <f>E271+E284+E286+E288+E290+E292+E294+E296</f>
        <v>108316820788</v>
      </c>
      <c r="F270" s="18">
        <f t="shared" si="15"/>
        <v>0.6260263359355601</v>
      </c>
    </row>
    <row r="271" spans="1:6" s="11" customFormat="1" ht="24.75" customHeight="1">
      <c r="A271" s="66">
        <v>1</v>
      </c>
      <c r="B271" s="72" t="s">
        <v>64</v>
      </c>
      <c r="C271" s="68"/>
      <c r="D271" s="53">
        <f>SUM(D272:D283)</f>
        <v>164682786056</v>
      </c>
      <c r="E271" s="53">
        <f>SUM(E272:E283)</f>
        <v>99993484788</v>
      </c>
      <c r="F271" s="18">
        <f aca="true" t="shared" si="16" ref="F271:F283">E271/D271</f>
        <v>0.6071884450266554</v>
      </c>
    </row>
    <row r="272" spans="1:6" s="13" customFormat="1" ht="36.75" customHeight="1">
      <c r="A272" s="66"/>
      <c r="B272" s="67" t="s">
        <v>205</v>
      </c>
      <c r="C272" s="70" t="s">
        <v>147</v>
      </c>
      <c r="D272" s="52">
        <v>9000000000</v>
      </c>
      <c r="E272" s="52">
        <f>8445000000+555000000</f>
        <v>9000000000</v>
      </c>
      <c r="F272" s="14">
        <f t="shared" si="16"/>
        <v>1</v>
      </c>
    </row>
    <row r="273" spans="1:6" s="11" customFormat="1" ht="54.75" customHeight="1">
      <c r="A273" s="66"/>
      <c r="B273" s="122" t="s">
        <v>206</v>
      </c>
      <c r="C273" s="70" t="s">
        <v>147</v>
      </c>
      <c r="D273" s="52">
        <v>7000000000</v>
      </c>
      <c r="E273" s="52">
        <v>5000000000</v>
      </c>
      <c r="F273" s="14">
        <f t="shared" si="16"/>
        <v>0.7142857142857143</v>
      </c>
    </row>
    <row r="274" spans="1:6" s="11" customFormat="1" ht="54.75" customHeight="1">
      <c r="A274" s="66"/>
      <c r="B274" s="122" t="s">
        <v>206</v>
      </c>
      <c r="C274" s="83" t="s">
        <v>380</v>
      </c>
      <c r="D274" s="52">
        <v>5000000000</v>
      </c>
      <c r="E274" s="52">
        <v>5000000000</v>
      </c>
      <c r="F274" s="14">
        <f t="shared" si="16"/>
        <v>1</v>
      </c>
    </row>
    <row r="275" spans="1:6" s="11" customFormat="1" ht="51.75" customHeight="1">
      <c r="A275" s="66"/>
      <c r="B275" s="67" t="s">
        <v>374</v>
      </c>
      <c r="C275" s="70" t="s">
        <v>147</v>
      </c>
      <c r="D275" s="52">
        <v>15000000000</v>
      </c>
      <c r="E275" s="52">
        <v>15000000000</v>
      </c>
      <c r="F275" s="14">
        <f t="shared" si="16"/>
        <v>1</v>
      </c>
    </row>
    <row r="276" spans="1:6" s="11" customFormat="1" ht="33" customHeight="1">
      <c r="A276" s="66"/>
      <c r="B276" s="67" t="s">
        <v>375</v>
      </c>
      <c r="C276" s="70" t="s">
        <v>147</v>
      </c>
      <c r="D276" s="52">
        <v>8500000000</v>
      </c>
      <c r="E276" s="52">
        <v>6000000000</v>
      </c>
      <c r="F276" s="14">
        <f t="shared" si="16"/>
        <v>0.7058823529411765</v>
      </c>
    </row>
    <row r="277" spans="1:6" s="11" customFormat="1" ht="54.75" customHeight="1">
      <c r="A277" s="66"/>
      <c r="B277" s="67" t="s">
        <v>376</v>
      </c>
      <c r="C277" s="70" t="s">
        <v>147</v>
      </c>
      <c r="D277" s="52">
        <v>5000000000</v>
      </c>
      <c r="E277" s="52">
        <v>2829044000</v>
      </c>
      <c r="F277" s="14">
        <f t="shared" si="16"/>
        <v>0.5658088</v>
      </c>
    </row>
    <row r="278" spans="1:6" s="11" customFormat="1" ht="19.5" customHeight="1">
      <c r="A278" s="66"/>
      <c r="B278" s="67" t="s">
        <v>377</v>
      </c>
      <c r="C278" s="83" t="s">
        <v>149</v>
      </c>
      <c r="D278" s="52">
        <v>1000000000</v>
      </c>
      <c r="E278" s="52">
        <v>1000000000</v>
      </c>
      <c r="F278" s="14">
        <f t="shared" si="16"/>
        <v>1</v>
      </c>
    </row>
    <row r="279" spans="1:6" s="13" customFormat="1" ht="27" customHeight="1">
      <c r="A279" s="66"/>
      <c r="B279" s="67" t="s">
        <v>378</v>
      </c>
      <c r="C279" s="83" t="s">
        <v>149</v>
      </c>
      <c r="D279" s="52">
        <v>1000000000</v>
      </c>
      <c r="E279" s="52">
        <v>1000000000</v>
      </c>
      <c r="F279" s="14">
        <f t="shared" si="16"/>
        <v>1</v>
      </c>
    </row>
    <row r="280" spans="1:6" s="11" customFormat="1" ht="28.5" customHeight="1">
      <c r="A280" s="66"/>
      <c r="B280" s="67" t="s">
        <v>379</v>
      </c>
      <c r="C280" s="83" t="s">
        <v>149</v>
      </c>
      <c r="D280" s="52">
        <v>1000000000</v>
      </c>
      <c r="E280" s="52">
        <v>1000000000</v>
      </c>
      <c r="F280" s="14">
        <f t="shared" si="16"/>
        <v>1</v>
      </c>
    </row>
    <row r="281" spans="1:6" s="13" customFormat="1" ht="48.75" customHeight="1">
      <c r="A281" s="66"/>
      <c r="B281" s="67" t="s">
        <v>207</v>
      </c>
      <c r="C281" s="83" t="s">
        <v>138</v>
      </c>
      <c r="D281" s="52">
        <v>100000000000</v>
      </c>
      <c r="E281" s="52">
        <f>22802774799+5965762533+13213117400</f>
        <v>41981654732</v>
      </c>
      <c r="F281" s="14">
        <f t="shared" si="16"/>
        <v>0.41981654732</v>
      </c>
    </row>
    <row r="282" spans="1:6" s="13" customFormat="1" ht="54.75" customHeight="1">
      <c r="A282" s="66"/>
      <c r="B282" s="67" t="s">
        <v>207</v>
      </c>
      <c r="C282" s="83" t="s">
        <v>153</v>
      </c>
      <c r="D282" s="52">
        <v>182786056</v>
      </c>
      <c r="E282" s="52">
        <v>182786056</v>
      </c>
      <c r="F282" s="14">
        <f t="shared" si="16"/>
        <v>1</v>
      </c>
    </row>
    <row r="283" spans="1:6" s="13" customFormat="1" ht="54.75" customHeight="1">
      <c r="A283" s="66"/>
      <c r="B283" s="67" t="s">
        <v>207</v>
      </c>
      <c r="C283" s="83" t="s">
        <v>149</v>
      </c>
      <c r="D283" s="58">
        <v>12000000000</v>
      </c>
      <c r="E283" s="52">
        <f>1731381900+10268618100</f>
        <v>12000000000</v>
      </c>
      <c r="F283" s="14">
        <f t="shared" si="16"/>
        <v>1</v>
      </c>
    </row>
    <row r="284" spans="1:10" s="16" customFormat="1" ht="27.75" customHeight="1">
      <c r="A284" s="66">
        <v>2</v>
      </c>
      <c r="B284" s="71" t="s">
        <v>65</v>
      </c>
      <c r="C284" s="71"/>
      <c r="D284" s="53">
        <f>D285</f>
        <v>1225000000</v>
      </c>
      <c r="E284" s="53">
        <f>E285</f>
        <v>1225000000</v>
      </c>
      <c r="F284" s="18">
        <f>F285</f>
        <v>1</v>
      </c>
      <c r="G284" s="11"/>
      <c r="H284" s="11"/>
      <c r="I284" s="11"/>
      <c r="J284" s="11"/>
    </row>
    <row r="285" spans="1:10" s="37" customFormat="1" ht="57" customHeight="1">
      <c r="A285" s="84"/>
      <c r="B285" s="87" t="s">
        <v>383</v>
      </c>
      <c r="C285" s="90" t="s">
        <v>10</v>
      </c>
      <c r="D285" s="59">
        <v>1225000000</v>
      </c>
      <c r="E285" s="59">
        <v>1225000000</v>
      </c>
      <c r="F285" s="14">
        <f>E285/D285</f>
        <v>1</v>
      </c>
      <c r="G285" s="33"/>
      <c r="H285" s="33"/>
      <c r="I285" s="33"/>
      <c r="J285" s="33"/>
    </row>
    <row r="286" spans="1:6" s="11" customFormat="1" ht="19.5" customHeight="1">
      <c r="A286" s="66">
        <v>3</v>
      </c>
      <c r="B286" s="68" t="s">
        <v>381</v>
      </c>
      <c r="C286" s="71"/>
      <c r="D286" s="53">
        <f>D287</f>
        <v>1355000000</v>
      </c>
      <c r="E286" s="53">
        <f>E287</f>
        <v>1352656000</v>
      </c>
      <c r="F286" s="18">
        <f>F287</f>
        <v>0.998270110701107</v>
      </c>
    </row>
    <row r="287" spans="1:10" s="37" customFormat="1" ht="44.25" customHeight="1">
      <c r="A287" s="85"/>
      <c r="B287" s="87" t="s">
        <v>384</v>
      </c>
      <c r="C287" s="90" t="s">
        <v>10</v>
      </c>
      <c r="D287" s="59">
        <v>1355000000</v>
      </c>
      <c r="E287" s="59">
        <f>1340569000+12087000</f>
        <v>1352656000</v>
      </c>
      <c r="F287" s="14">
        <f>E287/D287</f>
        <v>0.998270110701107</v>
      </c>
      <c r="G287" s="33"/>
      <c r="H287" s="33"/>
      <c r="I287" s="33"/>
      <c r="J287" s="33"/>
    </row>
    <row r="288" spans="1:6" s="11" customFormat="1" ht="28.5" customHeight="1">
      <c r="A288" s="66">
        <v>4</v>
      </c>
      <c r="B288" s="68" t="s">
        <v>66</v>
      </c>
      <c r="C288" s="71"/>
      <c r="D288" s="53">
        <f>D289</f>
        <v>1355000000</v>
      </c>
      <c r="E288" s="53">
        <f>E289</f>
        <v>1355000000</v>
      </c>
      <c r="F288" s="18">
        <f>E288/D288</f>
        <v>1</v>
      </c>
    </row>
    <row r="289" spans="1:6" s="33" customFormat="1" ht="36.75" customHeight="1">
      <c r="A289" s="84"/>
      <c r="B289" s="87" t="s">
        <v>387</v>
      </c>
      <c r="C289" s="117" t="s">
        <v>10</v>
      </c>
      <c r="D289" s="59">
        <v>1355000000</v>
      </c>
      <c r="E289" s="59">
        <v>1355000000</v>
      </c>
      <c r="F289" s="97">
        <f>E289/D289</f>
        <v>1</v>
      </c>
    </row>
    <row r="290" spans="1:6" s="11" customFormat="1" ht="27" customHeight="1">
      <c r="A290" s="66">
        <v>5</v>
      </c>
      <c r="B290" s="71" t="s">
        <v>25</v>
      </c>
      <c r="C290" s="72"/>
      <c r="D290" s="53">
        <f>D291</f>
        <v>1355000000</v>
      </c>
      <c r="E290" s="53">
        <f>E291</f>
        <v>1355000000</v>
      </c>
      <c r="F290" s="18">
        <f>F291</f>
        <v>1</v>
      </c>
    </row>
    <row r="291" spans="1:6" s="33" customFormat="1" ht="42" customHeight="1">
      <c r="A291" s="84"/>
      <c r="B291" s="87" t="s">
        <v>386</v>
      </c>
      <c r="C291" s="117" t="s">
        <v>10</v>
      </c>
      <c r="D291" s="59">
        <v>1355000000</v>
      </c>
      <c r="E291" s="59">
        <v>1355000000</v>
      </c>
      <c r="F291" s="97">
        <f>E291/D291</f>
        <v>1</v>
      </c>
    </row>
    <row r="292" spans="1:6" s="11" customFormat="1" ht="28.5" customHeight="1">
      <c r="A292" s="66">
        <v>6</v>
      </c>
      <c r="B292" s="71" t="s">
        <v>67</v>
      </c>
      <c r="C292" s="72"/>
      <c r="D292" s="53">
        <f>D293</f>
        <v>1355000000</v>
      </c>
      <c r="E292" s="53">
        <f>E293</f>
        <v>1354715000</v>
      </c>
      <c r="F292" s="18">
        <f>F293</f>
        <v>0.999789667896679</v>
      </c>
    </row>
    <row r="293" spans="1:6" s="33" customFormat="1" ht="36.75" customHeight="1">
      <c r="A293" s="84"/>
      <c r="B293" s="87" t="s">
        <v>388</v>
      </c>
      <c r="C293" s="117" t="s">
        <v>10</v>
      </c>
      <c r="D293" s="59">
        <v>1355000000</v>
      </c>
      <c r="E293" s="59">
        <v>1354715000</v>
      </c>
      <c r="F293" s="97">
        <f>E293/D293</f>
        <v>0.999789667896679</v>
      </c>
    </row>
    <row r="294" spans="1:6" s="11" customFormat="1" ht="28.5" customHeight="1">
      <c r="A294" s="66">
        <v>7</v>
      </c>
      <c r="B294" s="71" t="s">
        <v>382</v>
      </c>
      <c r="C294" s="72"/>
      <c r="D294" s="53">
        <f>D295</f>
        <v>1355000000</v>
      </c>
      <c r="E294" s="53">
        <f>E295</f>
        <v>1340965000</v>
      </c>
      <c r="F294" s="18">
        <f>F295</f>
        <v>0.9896420664206642</v>
      </c>
    </row>
    <row r="295" spans="1:6" s="37" customFormat="1" ht="36.75" customHeight="1">
      <c r="A295" s="84"/>
      <c r="B295" s="87" t="s">
        <v>385</v>
      </c>
      <c r="C295" s="90" t="s">
        <v>10</v>
      </c>
      <c r="D295" s="59">
        <v>1355000000</v>
      </c>
      <c r="E295" s="59">
        <v>1340965000</v>
      </c>
      <c r="F295" s="97">
        <f>E295/D295</f>
        <v>0.9896420664206642</v>
      </c>
    </row>
    <row r="296" spans="1:6" s="37" customFormat="1" ht="27.75" customHeight="1">
      <c r="A296" s="84">
        <v>8</v>
      </c>
      <c r="B296" s="86" t="s">
        <v>437</v>
      </c>
      <c r="C296" s="72"/>
      <c r="D296" s="60">
        <f>D297</f>
        <v>340000000</v>
      </c>
      <c r="E296" s="60">
        <f>E297</f>
        <v>340000000</v>
      </c>
      <c r="F296" s="116">
        <f>E296/D296</f>
        <v>1</v>
      </c>
    </row>
    <row r="297" spans="1:6" s="38" customFormat="1" ht="30" customHeight="1">
      <c r="A297" s="84"/>
      <c r="B297" s="87" t="s">
        <v>438</v>
      </c>
      <c r="C297" s="90" t="s">
        <v>439</v>
      </c>
      <c r="D297" s="59">
        <v>340000000</v>
      </c>
      <c r="E297" s="59">
        <v>340000000</v>
      </c>
      <c r="F297" s="97">
        <f>E297/D297</f>
        <v>1</v>
      </c>
    </row>
    <row r="298" spans="1:6" s="10" customFormat="1" ht="28.5" customHeight="1">
      <c r="A298" s="73" t="s">
        <v>132</v>
      </c>
      <c r="B298" s="74" t="s">
        <v>133</v>
      </c>
      <c r="C298" s="96"/>
      <c r="D298" s="55">
        <f>D299+D303+D308+D310+D312+D315+D318+D324+D326+D328+D341+D346+D360+D363+D369+D371+D373+D375+D384+D400+D403+D405+D408+D413+D415+D417+D419+D421+D461+D463+D465+D467+D469+D472+D474+D476+D478</f>
        <v>1400294616140</v>
      </c>
      <c r="E298" s="55">
        <f>E299+E303+E308+E310+E312+E315+E318+E324+E326+E328+E341+E346+E360+E363+E369+E371+E373+E375+E384+E400+E403+E405+E408+E413+E415+E417+E419+E421+E461+E463+E465+E467+E469+E472+E474+E476+E478</f>
        <v>664480299527</v>
      </c>
      <c r="F298" s="22">
        <f>E298/D298</f>
        <v>0.47452892546190145</v>
      </c>
    </row>
    <row r="299" spans="1:6" s="39" customFormat="1" ht="19.5" customHeight="1">
      <c r="A299" s="66">
        <v>1</v>
      </c>
      <c r="B299" s="71" t="s">
        <v>93</v>
      </c>
      <c r="C299" s="71"/>
      <c r="D299" s="53">
        <f>D300+D302+D301</f>
        <v>6602397900</v>
      </c>
      <c r="E299" s="53">
        <f>E300+E302+E301</f>
        <v>3000000000</v>
      </c>
      <c r="F299" s="18">
        <f>F300</f>
        <v>0</v>
      </c>
    </row>
    <row r="300" spans="1:6" s="40" customFormat="1" ht="36.75" customHeight="1">
      <c r="A300" s="66"/>
      <c r="B300" s="67" t="s">
        <v>92</v>
      </c>
      <c r="C300" s="123" t="s">
        <v>429</v>
      </c>
      <c r="D300" s="52">
        <v>2810330900</v>
      </c>
      <c r="E300" s="52"/>
      <c r="F300" s="14">
        <f aca="true" t="shared" si="17" ref="F300:F314">E300/D300</f>
        <v>0</v>
      </c>
    </row>
    <row r="301" spans="1:6" s="40" customFormat="1" ht="36.75" customHeight="1">
      <c r="A301" s="66"/>
      <c r="B301" s="67" t="s">
        <v>414</v>
      </c>
      <c r="C301" s="123" t="s">
        <v>429</v>
      </c>
      <c r="D301" s="52">
        <v>792067000</v>
      </c>
      <c r="E301" s="52"/>
      <c r="F301" s="14">
        <f t="shared" si="17"/>
        <v>0</v>
      </c>
    </row>
    <row r="302" spans="1:6" s="40" customFormat="1" ht="36.75" customHeight="1">
      <c r="A302" s="66"/>
      <c r="B302" s="67" t="s">
        <v>391</v>
      </c>
      <c r="C302" s="83" t="s">
        <v>392</v>
      </c>
      <c r="D302" s="52">
        <v>3000000000</v>
      </c>
      <c r="E302" s="52">
        <v>3000000000</v>
      </c>
      <c r="F302" s="14">
        <f t="shared" si="17"/>
        <v>1</v>
      </c>
    </row>
    <row r="303" spans="1:6" s="11" customFormat="1" ht="24.75" customHeight="1">
      <c r="A303" s="66">
        <v>2</v>
      </c>
      <c r="B303" s="71" t="s">
        <v>73</v>
      </c>
      <c r="C303" s="71"/>
      <c r="D303" s="53">
        <f>D304+D305+D306+D307</f>
        <v>25500000000</v>
      </c>
      <c r="E303" s="53">
        <f>E304+E305+E306+E307</f>
        <v>25500000000</v>
      </c>
      <c r="F303" s="18">
        <f t="shared" si="17"/>
        <v>1</v>
      </c>
    </row>
    <row r="304" spans="1:6" s="11" customFormat="1" ht="33.75" customHeight="1">
      <c r="A304" s="66"/>
      <c r="B304" s="67" t="s">
        <v>228</v>
      </c>
      <c r="C304" s="70" t="s">
        <v>147</v>
      </c>
      <c r="D304" s="52">
        <v>21000000000</v>
      </c>
      <c r="E304" s="52">
        <f>5491959000+3730000000+6100000000+2478041000+3047532000+152468000</f>
        <v>21000000000</v>
      </c>
      <c r="F304" s="14">
        <f t="shared" si="17"/>
        <v>1</v>
      </c>
    </row>
    <row r="305" spans="1:6" s="11" customFormat="1" ht="33.75" customHeight="1">
      <c r="A305" s="66"/>
      <c r="B305" s="67" t="s">
        <v>228</v>
      </c>
      <c r="C305" s="83" t="s">
        <v>389</v>
      </c>
      <c r="D305" s="52">
        <v>1500000000</v>
      </c>
      <c r="E305" s="52">
        <v>1500000000</v>
      </c>
      <c r="F305" s="14">
        <f t="shared" si="17"/>
        <v>1</v>
      </c>
    </row>
    <row r="306" spans="1:6" s="11" customFormat="1" ht="33.75" customHeight="1">
      <c r="A306" s="66"/>
      <c r="B306" s="67" t="s">
        <v>390</v>
      </c>
      <c r="C306" s="70" t="s">
        <v>147</v>
      </c>
      <c r="D306" s="52">
        <v>2000000000</v>
      </c>
      <c r="E306" s="52">
        <v>2000000000</v>
      </c>
      <c r="F306" s="14">
        <f t="shared" si="17"/>
        <v>1</v>
      </c>
    </row>
    <row r="307" spans="1:6" s="11" customFormat="1" ht="33.75" customHeight="1">
      <c r="A307" s="66"/>
      <c r="B307" s="67" t="s">
        <v>390</v>
      </c>
      <c r="C307" s="83" t="s">
        <v>389</v>
      </c>
      <c r="D307" s="52">
        <v>1000000000</v>
      </c>
      <c r="E307" s="52">
        <v>1000000000</v>
      </c>
      <c r="F307" s="14">
        <f t="shared" si="17"/>
        <v>1</v>
      </c>
    </row>
    <row r="308" spans="1:6" s="11" customFormat="1" ht="24.75" customHeight="1">
      <c r="A308" s="66">
        <v>3</v>
      </c>
      <c r="B308" s="71" t="s">
        <v>74</v>
      </c>
      <c r="C308" s="71"/>
      <c r="D308" s="53">
        <f>D309</f>
        <v>2000000000</v>
      </c>
      <c r="E308" s="53">
        <f>E309</f>
        <v>2000000000</v>
      </c>
      <c r="F308" s="18">
        <f t="shared" si="17"/>
        <v>1</v>
      </c>
    </row>
    <row r="309" spans="1:6" s="11" customFormat="1" ht="36.75" customHeight="1">
      <c r="A309" s="66"/>
      <c r="B309" s="67" t="s">
        <v>227</v>
      </c>
      <c r="C309" s="70" t="s">
        <v>147</v>
      </c>
      <c r="D309" s="52">
        <v>2000000000</v>
      </c>
      <c r="E309" s="52">
        <f>1951805000+48195000</f>
        <v>2000000000</v>
      </c>
      <c r="F309" s="14">
        <f t="shared" si="17"/>
        <v>1</v>
      </c>
    </row>
    <row r="310" spans="1:6" s="11" customFormat="1" ht="36.75" customHeight="1">
      <c r="A310" s="66">
        <v>4</v>
      </c>
      <c r="B310" s="78" t="s">
        <v>393</v>
      </c>
      <c r="C310" s="83"/>
      <c r="D310" s="53">
        <f>D311</f>
        <v>14000000000</v>
      </c>
      <c r="E310" s="53">
        <f>E311</f>
        <v>8865656000</v>
      </c>
      <c r="F310" s="14">
        <f t="shared" si="17"/>
        <v>0.6332611428571429</v>
      </c>
    </row>
    <row r="311" spans="1:6" s="12" customFormat="1" ht="36.75" customHeight="1">
      <c r="A311" s="69"/>
      <c r="B311" s="67" t="s">
        <v>394</v>
      </c>
      <c r="C311" s="83" t="s">
        <v>380</v>
      </c>
      <c r="D311" s="52">
        <v>14000000000</v>
      </c>
      <c r="E311" s="52">
        <f>8780301000+85355000</f>
        <v>8865656000</v>
      </c>
      <c r="F311" s="14">
        <f t="shared" si="17"/>
        <v>0.6332611428571429</v>
      </c>
    </row>
    <row r="312" spans="1:6" s="11" customFormat="1" ht="25.5" customHeight="1">
      <c r="A312" s="77">
        <v>5</v>
      </c>
      <c r="B312" s="88" t="s">
        <v>75</v>
      </c>
      <c r="C312" s="92"/>
      <c r="D312" s="56">
        <f>D313+D314</f>
        <v>6300000000</v>
      </c>
      <c r="E312" s="56">
        <f>E313+E314</f>
        <v>4132192000</v>
      </c>
      <c r="F312" s="14">
        <f t="shared" si="17"/>
        <v>0.6559034920634921</v>
      </c>
    </row>
    <row r="313" spans="1:6" s="11" customFormat="1" ht="36.75" customHeight="1">
      <c r="A313" s="66"/>
      <c r="B313" s="122" t="s">
        <v>180</v>
      </c>
      <c r="C313" s="70" t="s">
        <v>147</v>
      </c>
      <c r="D313" s="52">
        <v>2500000000</v>
      </c>
      <c r="E313" s="52">
        <v>332192000</v>
      </c>
      <c r="F313" s="14">
        <f t="shared" si="17"/>
        <v>0.1328768</v>
      </c>
    </row>
    <row r="314" spans="1:6" s="11" customFormat="1" ht="36.75" customHeight="1">
      <c r="A314" s="66"/>
      <c r="B314" s="122" t="s">
        <v>180</v>
      </c>
      <c r="C314" s="70" t="s">
        <v>409</v>
      </c>
      <c r="D314" s="52">
        <v>3800000000</v>
      </c>
      <c r="E314" s="52">
        <v>3800000000</v>
      </c>
      <c r="F314" s="14">
        <f t="shared" si="17"/>
        <v>1</v>
      </c>
    </row>
    <row r="315" spans="1:6" s="39" customFormat="1" ht="35.25" customHeight="1">
      <c r="A315" s="66">
        <v>6</v>
      </c>
      <c r="B315" s="68" t="s">
        <v>99</v>
      </c>
      <c r="C315" s="71"/>
      <c r="D315" s="53">
        <f>D316+D317</f>
        <v>3310365000</v>
      </c>
      <c r="E315" s="53">
        <f>E316+E317</f>
        <v>3000000000</v>
      </c>
      <c r="F315" s="18">
        <f aca="true" t="shared" si="18" ref="F315:F320">E315/D315</f>
        <v>0.9062444775727148</v>
      </c>
    </row>
    <row r="316" spans="1:6" ht="36.75" customHeight="1">
      <c r="A316" s="66"/>
      <c r="B316" s="67" t="s">
        <v>99</v>
      </c>
      <c r="C316" s="83" t="s">
        <v>380</v>
      </c>
      <c r="D316" s="52">
        <v>3000000000</v>
      </c>
      <c r="E316" s="52">
        <v>3000000000</v>
      </c>
      <c r="F316" s="14">
        <f t="shared" si="18"/>
        <v>1</v>
      </c>
    </row>
    <row r="317" spans="1:6" ht="36.75" customHeight="1">
      <c r="A317" s="66"/>
      <c r="B317" s="67" t="s">
        <v>99</v>
      </c>
      <c r="C317" s="83" t="s">
        <v>150</v>
      </c>
      <c r="D317" s="52">
        <v>310365000</v>
      </c>
      <c r="E317" s="52"/>
      <c r="F317" s="14">
        <f t="shared" si="18"/>
        <v>0</v>
      </c>
    </row>
    <row r="318" spans="1:6" s="39" customFormat="1" ht="23.25" customHeight="1">
      <c r="A318" s="66">
        <v>7</v>
      </c>
      <c r="B318" s="71" t="s">
        <v>100</v>
      </c>
      <c r="C318" s="71"/>
      <c r="D318" s="53">
        <f>D319+D320+D321+D323+D322</f>
        <v>1335573000</v>
      </c>
      <c r="E318" s="53">
        <f>E319+E320+E321+E323+E322</f>
        <v>229818000</v>
      </c>
      <c r="F318" s="14">
        <f t="shared" si="18"/>
        <v>0.17207445792929327</v>
      </c>
    </row>
    <row r="319" spans="1:6" s="41" customFormat="1" ht="73.5" customHeight="1">
      <c r="A319" s="84"/>
      <c r="B319" s="124" t="s">
        <v>395</v>
      </c>
      <c r="C319" s="123" t="s">
        <v>429</v>
      </c>
      <c r="D319" s="59">
        <v>888541000</v>
      </c>
      <c r="E319" s="59">
        <v>38909000</v>
      </c>
      <c r="F319" s="14">
        <f t="shared" si="18"/>
        <v>0.04378976321857967</v>
      </c>
    </row>
    <row r="320" spans="1:6" s="41" customFormat="1" ht="47.25" customHeight="1">
      <c r="A320" s="84"/>
      <c r="B320" s="124" t="s">
        <v>396</v>
      </c>
      <c r="C320" s="123" t="s">
        <v>429</v>
      </c>
      <c r="D320" s="59">
        <v>19950000</v>
      </c>
      <c r="E320" s="59"/>
      <c r="F320" s="14">
        <f t="shared" si="18"/>
        <v>0</v>
      </c>
    </row>
    <row r="321" spans="1:6" s="2" customFormat="1" ht="36.75" customHeight="1">
      <c r="A321" s="84"/>
      <c r="B321" s="87" t="s">
        <v>397</v>
      </c>
      <c r="C321" s="123" t="s">
        <v>429</v>
      </c>
      <c r="D321" s="59">
        <v>27082000</v>
      </c>
      <c r="E321" s="59"/>
      <c r="F321" s="97">
        <f aca="true" t="shared" si="19" ref="F321:F328">E321/D321</f>
        <v>0</v>
      </c>
    </row>
    <row r="322" spans="1:6" s="2" customFormat="1" ht="36.75" customHeight="1">
      <c r="A322" s="84"/>
      <c r="B322" s="87" t="s">
        <v>457</v>
      </c>
      <c r="C322" s="123" t="s">
        <v>430</v>
      </c>
      <c r="D322" s="59">
        <v>200000000</v>
      </c>
      <c r="E322" s="59"/>
      <c r="F322" s="97">
        <f t="shared" si="19"/>
        <v>0</v>
      </c>
    </row>
    <row r="323" spans="1:6" s="2" customFormat="1" ht="36.75" customHeight="1">
      <c r="A323" s="84"/>
      <c r="B323" s="67" t="s">
        <v>413</v>
      </c>
      <c r="C323" s="123" t="s">
        <v>429</v>
      </c>
      <c r="D323" s="52">
        <v>200000000</v>
      </c>
      <c r="E323" s="59">
        <f>80000000+89509000+21400000</f>
        <v>190909000</v>
      </c>
      <c r="F323" s="97">
        <f t="shared" si="19"/>
        <v>0.954545</v>
      </c>
    </row>
    <row r="324" spans="1:6" s="39" customFormat="1" ht="25.5" customHeight="1">
      <c r="A324" s="66">
        <v>8</v>
      </c>
      <c r="B324" s="71" t="s">
        <v>101</v>
      </c>
      <c r="C324" s="71"/>
      <c r="D324" s="53">
        <f>D325</f>
        <v>470000000</v>
      </c>
      <c r="E324" s="53">
        <f>E325</f>
        <v>470000000</v>
      </c>
      <c r="F324" s="18">
        <f t="shared" si="19"/>
        <v>1</v>
      </c>
    </row>
    <row r="325" spans="1:6" ht="30" customHeight="1">
      <c r="A325" s="66"/>
      <c r="B325" s="67" t="s">
        <v>189</v>
      </c>
      <c r="C325" s="70" t="s">
        <v>147</v>
      </c>
      <c r="D325" s="52">
        <v>470000000</v>
      </c>
      <c r="E325" s="52">
        <v>470000000</v>
      </c>
      <c r="F325" s="14">
        <f t="shared" si="19"/>
        <v>1</v>
      </c>
    </row>
    <row r="326" spans="1:6" ht="19.5" customHeight="1">
      <c r="A326" s="66">
        <v>9</v>
      </c>
      <c r="B326" s="71" t="s">
        <v>398</v>
      </c>
      <c r="C326" s="71"/>
      <c r="D326" s="53">
        <f>D327</f>
        <v>680000000</v>
      </c>
      <c r="E326" s="53">
        <f>E327</f>
        <v>596473000</v>
      </c>
      <c r="F326" s="14">
        <f t="shared" si="19"/>
        <v>0.8771661764705883</v>
      </c>
    </row>
    <row r="327" spans="1:6" ht="24.75" customHeight="1">
      <c r="A327" s="69"/>
      <c r="B327" s="83" t="s">
        <v>399</v>
      </c>
      <c r="C327" s="83" t="s">
        <v>147</v>
      </c>
      <c r="D327" s="52">
        <v>680000000</v>
      </c>
      <c r="E327" s="52">
        <f>493437000+103036000</f>
        <v>596473000</v>
      </c>
      <c r="F327" s="14">
        <f t="shared" si="19"/>
        <v>0.8771661764705883</v>
      </c>
    </row>
    <row r="328" spans="1:6" s="11" customFormat="1" ht="29.25" customHeight="1">
      <c r="A328" s="66">
        <v>10</v>
      </c>
      <c r="B328" s="72" t="s">
        <v>87</v>
      </c>
      <c r="C328" s="71"/>
      <c r="D328" s="53">
        <f>SUM(D329:D340)</f>
        <v>766129933979</v>
      </c>
      <c r="E328" s="53">
        <f>SUM(E329:E340)</f>
        <v>300373385570</v>
      </c>
      <c r="F328" s="18">
        <f t="shared" si="19"/>
        <v>0.39206585234174307</v>
      </c>
    </row>
    <row r="329" spans="1:6" s="13" customFormat="1" ht="36.75" customHeight="1">
      <c r="A329" s="69"/>
      <c r="B329" s="67" t="s">
        <v>215</v>
      </c>
      <c r="C329" s="70" t="s">
        <v>147</v>
      </c>
      <c r="D329" s="52">
        <v>5000000000</v>
      </c>
      <c r="E329" s="52">
        <v>4990611355</v>
      </c>
      <c r="F329" s="14">
        <f aca="true" t="shared" si="20" ref="F329:F340">E329/D329</f>
        <v>0.998122271</v>
      </c>
    </row>
    <row r="330" spans="1:6" s="11" customFormat="1" ht="39" customHeight="1">
      <c r="A330" s="66"/>
      <c r="B330" s="122" t="s">
        <v>88</v>
      </c>
      <c r="C330" s="70" t="s">
        <v>148</v>
      </c>
      <c r="D330" s="52">
        <v>1000000000</v>
      </c>
      <c r="E330" s="52"/>
      <c r="F330" s="14">
        <f t="shared" si="20"/>
        <v>0</v>
      </c>
    </row>
    <row r="331" spans="1:6" s="11" customFormat="1" ht="51.75" customHeight="1">
      <c r="A331" s="66"/>
      <c r="B331" s="67" t="s">
        <v>216</v>
      </c>
      <c r="C331" s="83" t="s">
        <v>152</v>
      </c>
      <c r="D331" s="52">
        <v>10106000000</v>
      </c>
      <c r="E331" s="52">
        <f>6800000000+1595000000+16539900</f>
        <v>8411539900</v>
      </c>
      <c r="F331" s="14">
        <f t="shared" si="20"/>
        <v>0.8323312784484465</v>
      </c>
    </row>
    <row r="332" spans="1:6" s="11" customFormat="1" ht="51.75" customHeight="1">
      <c r="A332" s="66"/>
      <c r="B332" s="67" t="s">
        <v>421</v>
      </c>
      <c r="C332" s="83" t="s">
        <v>152</v>
      </c>
      <c r="D332" s="52">
        <v>4000000000</v>
      </c>
      <c r="E332" s="52">
        <f>600000000+1248000000</f>
        <v>1848000000</v>
      </c>
      <c r="F332" s="14">
        <f t="shared" si="20"/>
        <v>0.462</v>
      </c>
    </row>
    <row r="333" spans="1:6" s="11" customFormat="1" ht="36.75" customHeight="1">
      <c r="A333" s="69"/>
      <c r="B333" s="67" t="s">
        <v>243</v>
      </c>
      <c r="C333" s="83" t="s">
        <v>239</v>
      </c>
      <c r="D333" s="52">
        <v>320000000000</v>
      </c>
      <c r="E333" s="125"/>
      <c r="F333" s="14">
        <f t="shared" si="20"/>
        <v>0</v>
      </c>
    </row>
    <row r="334" spans="1:6" s="16" customFormat="1" ht="36.75" customHeight="1">
      <c r="A334" s="69"/>
      <c r="B334" s="67" t="s">
        <v>243</v>
      </c>
      <c r="C334" s="83" t="s">
        <v>135</v>
      </c>
      <c r="D334" s="52">
        <v>383242000000</v>
      </c>
      <c r="E334" s="52">
        <f>107584587992+127426841040+14498973503</f>
        <v>249510402535</v>
      </c>
      <c r="F334" s="14">
        <f t="shared" si="20"/>
        <v>0.6510518224385636</v>
      </c>
    </row>
    <row r="335" spans="1:6" s="13" customFormat="1" ht="49.5" customHeight="1">
      <c r="A335" s="69"/>
      <c r="B335" s="67" t="s">
        <v>137</v>
      </c>
      <c r="C335" s="83" t="s">
        <v>400</v>
      </c>
      <c r="D335" s="52">
        <v>12781933979</v>
      </c>
      <c r="E335" s="52">
        <f>4441617000+521351340+3464769080+2950235980+505027453</f>
        <v>11883000853</v>
      </c>
      <c r="F335" s="14">
        <f t="shared" si="20"/>
        <v>0.9296715874548487</v>
      </c>
    </row>
    <row r="336" spans="1:6" s="13" customFormat="1" ht="40.5" customHeight="1">
      <c r="A336" s="69"/>
      <c r="B336" s="67" t="s">
        <v>434</v>
      </c>
      <c r="C336" s="83" t="s">
        <v>433</v>
      </c>
      <c r="D336" s="52">
        <v>10000000000</v>
      </c>
      <c r="E336" s="52">
        <f>8057945169+1374462965</f>
        <v>9432408134</v>
      </c>
      <c r="F336" s="14">
        <f t="shared" si="20"/>
        <v>0.9432408134</v>
      </c>
    </row>
    <row r="337" spans="1:6" s="13" customFormat="1" ht="36.75" customHeight="1">
      <c r="A337" s="69"/>
      <c r="B337" s="67" t="s">
        <v>250</v>
      </c>
      <c r="C337" s="83" t="s">
        <v>401</v>
      </c>
      <c r="D337" s="52">
        <v>10000000000</v>
      </c>
      <c r="E337" s="52">
        <v>7568123519</v>
      </c>
      <c r="F337" s="14">
        <f t="shared" si="20"/>
        <v>0.7568123519</v>
      </c>
    </row>
    <row r="338" spans="1:6" s="13" customFormat="1" ht="36.75" customHeight="1">
      <c r="A338" s="69"/>
      <c r="B338" s="67" t="s">
        <v>251</v>
      </c>
      <c r="C338" s="83" t="s">
        <v>401</v>
      </c>
      <c r="D338" s="52">
        <v>3000000000</v>
      </c>
      <c r="E338" s="52">
        <f>966377000+1781889000+55127779+1745000</f>
        <v>2805138779</v>
      </c>
      <c r="F338" s="14">
        <f t="shared" si="20"/>
        <v>0.9350462596666667</v>
      </c>
    </row>
    <row r="339" spans="1:6" s="13" customFormat="1" ht="36.75" customHeight="1">
      <c r="A339" s="69"/>
      <c r="B339" s="67" t="s">
        <v>252</v>
      </c>
      <c r="C339" s="83" t="s">
        <v>401</v>
      </c>
      <c r="D339" s="52">
        <v>1865642000</v>
      </c>
      <c r="E339" s="52">
        <v>1808731595</v>
      </c>
      <c r="F339" s="14">
        <f t="shared" si="20"/>
        <v>0.9694955382651119</v>
      </c>
    </row>
    <row r="340" spans="1:6" s="13" customFormat="1" ht="36.75" customHeight="1">
      <c r="A340" s="69"/>
      <c r="B340" s="67" t="s">
        <v>253</v>
      </c>
      <c r="C340" s="83" t="s">
        <v>401</v>
      </c>
      <c r="D340" s="52">
        <v>5134358000</v>
      </c>
      <c r="E340" s="52">
        <v>2115428900</v>
      </c>
      <c r="F340" s="14">
        <f t="shared" si="20"/>
        <v>0.41201429662676425</v>
      </c>
    </row>
    <row r="341" spans="1:6" s="11" customFormat="1" ht="19.5" customHeight="1">
      <c r="A341" s="66">
        <v>11</v>
      </c>
      <c r="B341" s="71" t="s">
        <v>77</v>
      </c>
      <c r="C341" s="71"/>
      <c r="D341" s="53">
        <f>D342+D343+D344+D345</f>
        <v>8060000000</v>
      </c>
      <c r="E341" s="53">
        <f>E342+E343+E344+E345</f>
        <v>8059737000</v>
      </c>
      <c r="F341" s="18">
        <f aca="true" t="shared" si="21" ref="F341:F346">E341/D341</f>
        <v>0.9999673697270471</v>
      </c>
    </row>
    <row r="342" spans="1:6" s="42" customFormat="1" ht="39" customHeight="1">
      <c r="A342" s="66"/>
      <c r="B342" s="67" t="s">
        <v>441</v>
      </c>
      <c r="C342" s="83" t="s">
        <v>149</v>
      </c>
      <c r="D342" s="52">
        <v>181000000</v>
      </c>
      <c r="E342" s="52">
        <v>181000000</v>
      </c>
      <c r="F342" s="14">
        <f t="shared" si="21"/>
        <v>1</v>
      </c>
    </row>
    <row r="343" spans="1:6" s="42" customFormat="1" ht="45" customHeight="1">
      <c r="A343" s="66"/>
      <c r="B343" s="67" t="s">
        <v>442</v>
      </c>
      <c r="C343" s="83" t="s">
        <v>152</v>
      </c>
      <c r="D343" s="52">
        <v>4832000000</v>
      </c>
      <c r="E343" s="52">
        <v>4832000000</v>
      </c>
      <c r="F343" s="14">
        <f t="shared" si="21"/>
        <v>1</v>
      </c>
    </row>
    <row r="344" spans="1:6" s="42" customFormat="1" ht="45" customHeight="1">
      <c r="A344" s="66"/>
      <c r="B344" s="67" t="s">
        <v>443</v>
      </c>
      <c r="C344" s="83" t="s">
        <v>152</v>
      </c>
      <c r="D344" s="52">
        <v>47000000</v>
      </c>
      <c r="E344" s="52">
        <v>46737000</v>
      </c>
      <c r="F344" s="14">
        <f t="shared" si="21"/>
        <v>0.9944042553191489</v>
      </c>
    </row>
    <row r="345" spans="1:6" s="11" customFormat="1" ht="39" customHeight="1">
      <c r="A345" s="66"/>
      <c r="B345" s="67" t="s">
        <v>229</v>
      </c>
      <c r="C345" s="70" t="s">
        <v>147</v>
      </c>
      <c r="D345" s="52">
        <v>3000000000</v>
      </c>
      <c r="E345" s="52">
        <v>3000000000</v>
      </c>
      <c r="F345" s="14">
        <f t="shared" si="21"/>
        <v>1</v>
      </c>
    </row>
    <row r="346" spans="1:6" s="11" customFormat="1" ht="21.75" customHeight="1">
      <c r="A346" s="77">
        <v>12</v>
      </c>
      <c r="B346" s="71" t="s">
        <v>78</v>
      </c>
      <c r="C346" s="92"/>
      <c r="D346" s="56">
        <f>SUM(D347:D359)</f>
        <v>32125000000</v>
      </c>
      <c r="E346" s="56">
        <f>SUM(E347:E359)</f>
        <v>28535689400</v>
      </c>
      <c r="F346" s="18">
        <f t="shared" si="21"/>
        <v>0.888270487159533</v>
      </c>
    </row>
    <row r="347" spans="1:6" s="11" customFormat="1" ht="36.75" customHeight="1">
      <c r="A347" s="66"/>
      <c r="B347" s="67" t="s">
        <v>208</v>
      </c>
      <c r="C347" s="70" t="s">
        <v>147</v>
      </c>
      <c r="D347" s="52">
        <v>604000000</v>
      </c>
      <c r="E347" s="52">
        <f>599663000+4337000</f>
        <v>604000000</v>
      </c>
      <c r="F347" s="14">
        <f aca="true" t="shared" si="22" ref="F347:F359">E347/D347</f>
        <v>1</v>
      </c>
    </row>
    <row r="348" spans="1:6" s="13" customFormat="1" ht="29.25" customHeight="1">
      <c r="A348" s="66"/>
      <c r="B348" s="67" t="s">
        <v>209</v>
      </c>
      <c r="C348" s="70" t="s">
        <v>147</v>
      </c>
      <c r="D348" s="52">
        <v>7000000000</v>
      </c>
      <c r="E348" s="52">
        <f>2093865000+2089562000</f>
        <v>4183427000</v>
      </c>
      <c r="F348" s="14">
        <f t="shared" si="22"/>
        <v>0.5976324285714286</v>
      </c>
    </row>
    <row r="349" spans="1:6" s="11" customFormat="1" ht="36.75" customHeight="1">
      <c r="A349" s="66"/>
      <c r="B349" s="67" t="s">
        <v>79</v>
      </c>
      <c r="C349" s="70" t="s">
        <v>147</v>
      </c>
      <c r="D349" s="52">
        <v>1200000000</v>
      </c>
      <c r="E349" s="52">
        <f>1100000000+14687000+44482000</f>
        <v>1159169000</v>
      </c>
      <c r="F349" s="14">
        <f t="shared" si="22"/>
        <v>0.9659741666666667</v>
      </c>
    </row>
    <row r="350" spans="1:6" s="11" customFormat="1" ht="41.25" customHeight="1">
      <c r="A350" s="66"/>
      <c r="B350" s="67" t="s">
        <v>181</v>
      </c>
      <c r="C350" s="70" t="s">
        <v>147</v>
      </c>
      <c r="D350" s="52">
        <v>5000000000</v>
      </c>
      <c r="E350" s="52">
        <f>4600000000+7979000+315705400+59449000</f>
        <v>4983133400</v>
      </c>
      <c r="F350" s="14">
        <f t="shared" si="22"/>
        <v>0.99662668</v>
      </c>
    </row>
    <row r="351" spans="1:10" s="16" customFormat="1" ht="36.75" customHeight="1">
      <c r="A351" s="66"/>
      <c r="B351" s="67" t="s">
        <v>154</v>
      </c>
      <c r="C351" s="70" t="s">
        <v>147</v>
      </c>
      <c r="D351" s="52">
        <v>2000000000</v>
      </c>
      <c r="E351" s="52">
        <f>1937588000+6000000+13288000+2800000</f>
        <v>1959676000</v>
      </c>
      <c r="F351" s="14">
        <f t="shared" si="22"/>
        <v>0.979838</v>
      </c>
      <c r="G351" s="11"/>
      <c r="H351" s="11"/>
      <c r="I351" s="11"/>
      <c r="J351" s="11"/>
    </row>
    <row r="352" spans="1:6" s="11" customFormat="1" ht="30" customHeight="1">
      <c r="A352" s="66"/>
      <c r="B352" s="67" t="s">
        <v>245</v>
      </c>
      <c r="C352" s="70" t="s">
        <v>147</v>
      </c>
      <c r="D352" s="52">
        <v>500000000</v>
      </c>
      <c r="E352" s="52">
        <f>460000000+9068000+2950000+27982000</f>
        <v>500000000</v>
      </c>
      <c r="F352" s="14">
        <f t="shared" si="22"/>
        <v>1</v>
      </c>
    </row>
    <row r="353" spans="1:6" s="11" customFormat="1" ht="29.25" customHeight="1">
      <c r="A353" s="66"/>
      <c r="B353" s="67" t="s">
        <v>244</v>
      </c>
      <c r="C353" s="70" t="s">
        <v>147</v>
      </c>
      <c r="D353" s="52">
        <v>500000000</v>
      </c>
      <c r="E353" s="52">
        <f>473800000+26200000</f>
        <v>500000000</v>
      </c>
      <c r="F353" s="14">
        <f t="shared" si="22"/>
        <v>1</v>
      </c>
    </row>
    <row r="354" spans="1:6" s="11" customFormat="1" ht="33.75" customHeight="1">
      <c r="A354" s="66"/>
      <c r="B354" s="67" t="s">
        <v>246</v>
      </c>
      <c r="C354" s="70" t="s">
        <v>147</v>
      </c>
      <c r="D354" s="52">
        <v>500000000</v>
      </c>
      <c r="E354" s="52">
        <f>466820000+25533000</f>
        <v>492353000</v>
      </c>
      <c r="F354" s="14">
        <f t="shared" si="22"/>
        <v>0.984706</v>
      </c>
    </row>
    <row r="355" spans="1:6" s="11" customFormat="1" ht="27.75" customHeight="1">
      <c r="A355" s="66"/>
      <c r="B355" s="67" t="s">
        <v>247</v>
      </c>
      <c r="C355" s="70" t="s">
        <v>147</v>
      </c>
      <c r="D355" s="52">
        <v>1221000000</v>
      </c>
      <c r="E355" s="52">
        <f>1011179000+25360000+2219000+48599000+24580000+2500000</f>
        <v>1114437000</v>
      </c>
      <c r="F355" s="14">
        <f t="shared" si="22"/>
        <v>0.9127248157248157</v>
      </c>
    </row>
    <row r="356" spans="1:6" s="11" customFormat="1" ht="33" customHeight="1">
      <c r="A356" s="66"/>
      <c r="B356" s="67" t="s">
        <v>248</v>
      </c>
      <c r="C356" s="70" t="s">
        <v>147</v>
      </c>
      <c r="D356" s="52">
        <v>1400000000</v>
      </c>
      <c r="E356" s="52">
        <f>1250000000+18365100+107940000+10458500+13236400</f>
        <v>1400000000</v>
      </c>
      <c r="F356" s="14">
        <f t="shared" si="22"/>
        <v>1</v>
      </c>
    </row>
    <row r="357" spans="1:6" s="13" customFormat="1" ht="30.75" customHeight="1">
      <c r="A357" s="66"/>
      <c r="B357" s="67" t="s">
        <v>403</v>
      </c>
      <c r="C357" s="70" t="s">
        <v>147</v>
      </c>
      <c r="D357" s="52">
        <v>7000000000</v>
      </c>
      <c r="E357" s="52">
        <f>4000000000+500000000+10340000+2227000+2360663000+7800000+26557000</f>
        <v>6907587000</v>
      </c>
      <c r="F357" s="14">
        <f t="shared" si="22"/>
        <v>0.9867981428571428</v>
      </c>
    </row>
    <row r="358" spans="1:6" s="11" customFormat="1" ht="30.75" customHeight="1">
      <c r="A358" s="66"/>
      <c r="B358" s="67" t="s">
        <v>431</v>
      </c>
      <c r="C358" s="83" t="s">
        <v>149</v>
      </c>
      <c r="D358" s="52">
        <v>2200000000</v>
      </c>
      <c r="E358" s="52">
        <f>1708793000+23114000</f>
        <v>1731907000</v>
      </c>
      <c r="F358" s="14">
        <f t="shared" si="22"/>
        <v>0.7872304545454546</v>
      </c>
    </row>
    <row r="359" spans="1:6" s="11" customFormat="1" ht="30.75" customHeight="1">
      <c r="A359" s="69"/>
      <c r="B359" s="67" t="s">
        <v>402</v>
      </c>
      <c r="C359" s="70" t="s">
        <v>147</v>
      </c>
      <c r="D359" s="52">
        <v>3000000000</v>
      </c>
      <c r="E359" s="52">
        <v>3000000000</v>
      </c>
      <c r="F359" s="14">
        <f t="shared" si="22"/>
        <v>1</v>
      </c>
    </row>
    <row r="360" spans="1:6" s="11" customFormat="1" ht="33" customHeight="1">
      <c r="A360" s="77">
        <v>13</v>
      </c>
      <c r="B360" s="71" t="s">
        <v>80</v>
      </c>
      <c r="C360" s="92"/>
      <c r="D360" s="56">
        <f>SUM(D361:D362)</f>
        <v>439206000</v>
      </c>
      <c r="E360" s="56">
        <f>SUM(E361:E362)</f>
        <v>405996000</v>
      </c>
      <c r="F360" s="18">
        <f aca="true" t="shared" si="23" ref="F360:F370">E360/D360</f>
        <v>0.9243862788759717</v>
      </c>
    </row>
    <row r="361" spans="1:10" s="43" customFormat="1" ht="36.75" customHeight="1">
      <c r="A361" s="66"/>
      <c r="B361" s="67" t="s">
        <v>210</v>
      </c>
      <c r="C361" s="70" t="s">
        <v>147</v>
      </c>
      <c r="D361" s="52">
        <v>410000000</v>
      </c>
      <c r="E361" s="52">
        <v>405996000</v>
      </c>
      <c r="F361" s="14">
        <f t="shared" si="23"/>
        <v>0.9902341463414635</v>
      </c>
      <c r="G361" s="10"/>
      <c r="H361" s="10"/>
      <c r="I361" s="10"/>
      <c r="J361" s="10"/>
    </row>
    <row r="362" spans="1:6" s="10" customFormat="1" ht="36.75" customHeight="1">
      <c r="A362" s="66"/>
      <c r="B362" s="67" t="s">
        <v>211</v>
      </c>
      <c r="C362" s="83" t="s">
        <v>150</v>
      </c>
      <c r="D362" s="52">
        <v>29206000</v>
      </c>
      <c r="E362" s="52"/>
      <c r="F362" s="14">
        <f t="shared" si="23"/>
        <v>0</v>
      </c>
    </row>
    <row r="363" spans="1:6" s="39" customFormat="1" ht="22.5" customHeight="1">
      <c r="A363" s="66">
        <v>14</v>
      </c>
      <c r="B363" s="71" t="s">
        <v>110</v>
      </c>
      <c r="C363" s="68"/>
      <c r="D363" s="53">
        <f>SUM(D364:D368)</f>
        <v>10346672000</v>
      </c>
      <c r="E363" s="53">
        <f>SUM(E364:E368)</f>
        <v>10313727000</v>
      </c>
      <c r="F363" s="18">
        <f t="shared" si="23"/>
        <v>0.9968158843732555</v>
      </c>
    </row>
    <row r="364" spans="1:6" s="44" customFormat="1" ht="21.75" customHeight="1">
      <c r="A364" s="66"/>
      <c r="B364" s="67" t="s">
        <v>111</v>
      </c>
      <c r="C364" s="83" t="s">
        <v>149</v>
      </c>
      <c r="D364" s="52">
        <v>311000000</v>
      </c>
      <c r="E364" s="52">
        <v>308461000</v>
      </c>
      <c r="F364" s="14">
        <f t="shared" si="23"/>
        <v>0.9918360128617363</v>
      </c>
    </row>
    <row r="365" spans="1:6" ht="22.5" customHeight="1">
      <c r="A365" s="66"/>
      <c r="B365" s="67" t="s">
        <v>112</v>
      </c>
      <c r="C365" s="83" t="s">
        <v>147</v>
      </c>
      <c r="D365" s="52">
        <v>19000000</v>
      </c>
      <c r="E365" s="52">
        <v>18459000</v>
      </c>
      <c r="F365" s="14">
        <f t="shared" si="23"/>
        <v>0.9715263157894737</v>
      </c>
    </row>
    <row r="366" spans="1:6" ht="36.75" customHeight="1">
      <c r="A366" s="66"/>
      <c r="B366" s="67" t="s">
        <v>404</v>
      </c>
      <c r="C366" s="83" t="s">
        <v>147</v>
      </c>
      <c r="D366" s="52">
        <v>5000000000</v>
      </c>
      <c r="E366" s="52">
        <v>5000000000</v>
      </c>
      <c r="F366" s="14">
        <f t="shared" si="23"/>
        <v>1</v>
      </c>
    </row>
    <row r="367" spans="1:6" ht="30.75" customHeight="1">
      <c r="A367" s="66"/>
      <c r="B367" s="67" t="s">
        <v>428</v>
      </c>
      <c r="C367" s="83" t="s">
        <v>409</v>
      </c>
      <c r="D367" s="52">
        <v>16672000</v>
      </c>
      <c r="E367" s="52"/>
      <c r="F367" s="14">
        <f t="shared" si="23"/>
        <v>0</v>
      </c>
    </row>
    <row r="368" spans="1:6" ht="36.75" customHeight="1">
      <c r="A368" s="66"/>
      <c r="B368" s="67" t="s">
        <v>404</v>
      </c>
      <c r="C368" s="83" t="s">
        <v>149</v>
      </c>
      <c r="D368" s="52">
        <v>5000000000</v>
      </c>
      <c r="E368" s="52">
        <f>4680323000+306484000</f>
        <v>4986807000</v>
      </c>
      <c r="F368" s="14">
        <f t="shared" si="23"/>
        <v>0.9973614</v>
      </c>
    </row>
    <row r="369" spans="1:6" s="11" customFormat="1" ht="19.5" customHeight="1">
      <c r="A369" s="66">
        <v>15</v>
      </c>
      <c r="B369" s="71" t="s">
        <v>76</v>
      </c>
      <c r="C369" s="68"/>
      <c r="D369" s="53">
        <f>D370</f>
        <v>518895300</v>
      </c>
      <c r="E369" s="53">
        <f>E370</f>
        <v>179114000</v>
      </c>
      <c r="F369" s="18">
        <f t="shared" si="23"/>
        <v>0.3451833154010067</v>
      </c>
    </row>
    <row r="370" spans="1:6" s="13" customFormat="1" ht="36.75" customHeight="1">
      <c r="A370" s="66"/>
      <c r="B370" s="67" t="s">
        <v>405</v>
      </c>
      <c r="C370" s="83" t="s">
        <v>401</v>
      </c>
      <c r="D370" s="52">
        <v>518895300</v>
      </c>
      <c r="E370" s="52">
        <v>179114000</v>
      </c>
      <c r="F370" s="14">
        <f t="shared" si="23"/>
        <v>0.3451833154010067</v>
      </c>
    </row>
    <row r="371" spans="1:6" s="11" customFormat="1" ht="19.5" customHeight="1">
      <c r="A371" s="66">
        <v>16</v>
      </c>
      <c r="B371" s="71" t="s">
        <v>72</v>
      </c>
      <c r="C371" s="71"/>
      <c r="D371" s="53">
        <f>D372</f>
        <v>10000000000</v>
      </c>
      <c r="E371" s="53">
        <f>E372</f>
        <v>10000000000</v>
      </c>
      <c r="F371" s="18">
        <f aca="true" t="shared" si="24" ref="F371:F376">E371/D371</f>
        <v>1</v>
      </c>
    </row>
    <row r="372" spans="1:6" s="11" customFormat="1" ht="22.5" customHeight="1">
      <c r="A372" s="66"/>
      <c r="B372" s="67" t="s">
        <v>71</v>
      </c>
      <c r="C372" s="83" t="s">
        <v>149</v>
      </c>
      <c r="D372" s="52">
        <v>10000000000</v>
      </c>
      <c r="E372" s="52">
        <v>10000000000</v>
      </c>
      <c r="F372" s="14">
        <f t="shared" si="24"/>
        <v>1</v>
      </c>
    </row>
    <row r="373" spans="1:6" s="11" customFormat="1" ht="19.5" customHeight="1">
      <c r="A373" s="66">
        <v>17</v>
      </c>
      <c r="B373" s="71" t="s">
        <v>212</v>
      </c>
      <c r="C373" s="71"/>
      <c r="D373" s="53">
        <f>SUM(D374:D374)</f>
        <v>1600000000</v>
      </c>
      <c r="E373" s="53">
        <f>SUM(E374:E374)</f>
        <v>1600000000</v>
      </c>
      <c r="F373" s="18">
        <f t="shared" si="24"/>
        <v>1</v>
      </c>
    </row>
    <row r="374" spans="1:6" s="11" customFormat="1" ht="36.75" customHeight="1">
      <c r="A374" s="66"/>
      <c r="B374" s="67" t="s">
        <v>81</v>
      </c>
      <c r="C374" s="83" t="s">
        <v>149</v>
      </c>
      <c r="D374" s="52">
        <v>1600000000</v>
      </c>
      <c r="E374" s="52">
        <v>1600000000</v>
      </c>
      <c r="F374" s="14">
        <f t="shared" si="24"/>
        <v>1</v>
      </c>
    </row>
    <row r="375" spans="1:6" s="11" customFormat="1" ht="29.25" customHeight="1">
      <c r="A375" s="66">
        <v>18</v>
      </c>
      <c r="B375" s="71" t="s">
        <v>83</v>
      </c>
      <c r="C375" s="71"/>
      <c r="D375" s="53">
        <f>D376+D377+D378+D379+D380+D381+D382+D383</f>
        <v>6534606797</v>
      </c>
      <c r="E375" s="53">
        <f>E376+E377+E378+E379+E380+E381+E382+E383</f>
        <v>4195847675</v>
      </c>
      <c r="F375" s="18">
        <f t="shared" si="24"/>
        <v>0.6420964268158093</v>
      </c>
    </row>
    <row r="376" spans="1:6" s="11" customFormat="1" ht="32.25" customHeight="1">
      <c r="A376" s="66"/>
      <c r="B376" s="124" t="s">
        <v>455</v>
      </c>
      <c r="C376" s="123" t="s">
        <v>430</v>
      </c>
      <c r="D376" s="52">
        <v>163000000</v>
      </c>
      <c r="E376" s="53"/>
      <c r="F376" s="14">
        <f t="shared" si="24"/>
        <v>0</v>
      </c>
    </row>
    <row r="377" spans="1:6" s="11" customFormat="1" ht="32.25" customHeight="1">
      <c r="A377" s="66"/>
      <c r="B377" s="124" t="s">
        <v>97</v>
      </c>
      <c r="C377" s="123" t="s">
        <v>429</v>
      </c>
      <c r="D377" s="52">
        <v>173883908</v>
      </c>
      <c r="E377" s="52"/>
      <c r="F377" s="14">
        <f aca="true" t="shared" si="25" ref="F377:F385">E377/D377</f>
        <v>0</v>
      </c>
    </row>
    <row r="378" spans="1:6" s="11" customFormat="1" ht="29.25" customHeight="1">
      <c r="A378" s="66"/>
      <c r="B378" s="124" t="s">
        <v>98</v>
      </c>
      <c r="C378" s="123" t="s">
        <v>429</v>
      </c>
      <c r="D378" s="52">
        <v>49843400</v>
      </c>
      <c r="E378" s="52"/>
      <c r="F378" s="14">
        <f t="shared" si="25"/>
        <v>0</v>
      </c>
    </row>
    <row r="379" spans="1:6" s="11" customFormat="1" ht="28.5" customHeight="1">
      <c r="A379" s="66"/>
      <c r="B379" s="124" t="s">
        <v>98</v>
      </c>
      <c r="C379" s="123" t="s">
        <v>430</v>
      </c>
      <c r="D379" s="52">
        <v>478000000</v>
      </c>
      <c r="E379" s="52"/>
      <c r="F379" s="14">
        <f t="shared" si="25"/>
        <v>0</v>
      </c>
    </row>
    <row r="380" spans="1:6" s="11" customFormat="1" ht="28.5" customHeight="1">
      <c r="A380" s="66"/>
      <c r="B380" s="124" t="s">
        <v>96</v>
      </c>
      <c r="C380" s="123" t="s">
        <v>429</v>
      </c>
      <c r="D380" s="52">
        <v>94102489</v>
      </c>
      <c r="E380" s="52">
        <v>27750000</v>
      </c>
      <c r="F380" s="14">
        <f t="shared" si="25"/>
        <v>0.29489124352491886</v>
      </c>
    </row>
    <row r="381" spans="1:6" s="11" customFormat="1" ht="39" customHeight="1">
      <c r="A381" s="66"/>
      <c r="B381" s="124" t="s">
        <v>406</v>
      </c>
      <c r="C381" s="123" t="s">
        <v>429</v>
      </c>
      <c r="D381" s="52">
        <v>1216777000</v>
      </c>
      <c r="E381" s="52">
        <f>1084641993+83455682</f>
        <v>1168097675</v>
      </c>
      <c r="F381" s="14">
        <f t="shared" si="25"/>
        <v>0.9599932239021612</v>
      </c>
    </row>
    <row r="382" spans="1:6" s="11" customFormat="1" ht="27.75" customHeight="1">
      <c r="A382" s="66"/>
      <c r="B382" s="124" t="s">
        <v>456</v>
      </c>
      <c r="C382" s="123" t="s">
        <v>430</v>
      </c>
      <c r="D382" s="52">
        <v>1359000000</v>
      </c>
      <c r="E382" s="52"/>
      <c r="F382" s="14">
        <f t="shared" si="25"/>
        <v>0</v>
      </c>
    </row>
    <row r="383" spans="1:6" s="11" customFormat="1" ht="24.75" customHeight="1">
      <c r="A383" s="66"/>
      <c r="B383" s="67" t="s">
        <v>82</v>
      </c>
      <c r="C383" s="70" t="s">
        <v>147</v>
      </c>
      <c r="D383" s="52">
        <v>3000000000</v>
      </c>
      <c r="E383" s="52">
        <v>3000000000</v>
      </c>
      <c r="F383" s="14">
        <f t="shared" si="25"/>
        <v>1</v>
      </c>
    </row>
    <row r="384" spans="1:6" s="11" customFormat="1" ht="21.75" customHeight="1">
      <c r="A384" s="66">
        <v>19</v>
      </c>
      <c r="B384" s="71" t="s">
        <v>84</v>
      </c>
      <c r="C384" s="68"/>
      <c r="D384" s="53">
        <f>SUM(D385:D399)</f>
        <v>143372645000</v>
      </c>
      <c r="E384" s="53">
        <f>SUM(E385:E399)</f>
        <v>129309353137</v>
      </c>
      <c r="F384" s="18">
        <f t="shared" si="25"/>
        <v>0.9019109129011326</v>
      </c>
    </row>
    <row r="385" spans="1:6" s="13" customFormat="1" ht="36.75" customHeight="1">
      <c r="A385" s="66"/>
      <c r="B385" s="83" t="s">
        <v>225</v>
      </c>
      <c r="C385" s="83" t="s">
        <v>149</v>
      </c>
      <c r="D385" s="52">
        <v>3089000000</v>
      </c>
      <c r="E385" s="52">
        <v>2316394537</v>
      </c>
      <c r="F385" s="14">
        <f t="shared" si="25"/>
        <v>0.7498849261897054</v>
      </c>
    </row>
    <row r="386" spans="1:6" s="13" customFormat="1" ht="36.75" customHeight="1">
      <c r="A386" s="66"/>
      <c r="B386" s="67" t="s">
        <v>158</v>
      </c>
      <c r="C386" s="83" t="s">
        <v>149</v>
      </c>
      <c r="D386" s="52">
        <v>3000000000</v>
      </c>
      <c r="E386" s="52">
        <f>1250000000+1750000000</f>
        <v>3000000000</v>
      </c>
      <c r="F386" s="14">
        <f aca="true" t="shared" si="26" ref="F386:F399">E386/D386</f>
        <v>1</v>
      </c>
    </row>
    <row r="387" spans="1:6" s="11" customFormat="1" ht="24.75" customHeight="1">
      <c r="A387" s="66"/>
      <c r="B387" s="67" t="s">
        <v>159</v>
      </c>
      <c r="C387" s="70" t="s">
        <v>147</v>
      </c>
      <c r="D387" s="52">
        <v>694000000</v>
      </c>
      <c r="E387" s="52">
        <v>640739500</v>
      </c>
      <c r="F387" s="14">
        <f t="shared" si="26"/>
        <v>0.9232557636887608</v>
      </c>
    </row>
    <row r="388" spans="1:6" s="11" customFormat="1" ht="30.75" customHeight="1">
      <c r="A388" s="66"/>
      <c r="B388" s="67" t="s">
        <v>157</v>
      </c>
      <c r="C388" s="70" t="s">
        <v>147</v>
      </c>
      <c r="D388" s="52">
        <v>1000000000</v>
      </c>
      <c r="E388" s="52"/>
      <c r="F388" s="14">
        <f t="shared" si="26"/>
        <v>0</v>
      </c>
    </row>
    <row r="389" spans="1:6" s="11" customFormat="1" ht="32.25" customHeight="1">
      <c r="A389" s="66"/>
      <c r="B389" s="67" t="s">
        <v>157</v>
      </c>
      <c r="C389" s="70" t="s">
        <v>148</v>
      </c>
      <c r="D389" s="52">
        <v>2021149000</v>
      </c>
      <c r="E389" s="52">
        <v>1795579000</v>
      </c>
      <c r="F389" s="14">
        <f t="shared" si="26"/>
        <v>0.8883951653242784</v>
      </c>
    </row>
    <row r="390" spans="1:6" s="11" customFormat="1" ht="51" customHeight="1">
      <c r="A390" s="66"/>
      <c r="B390" s="67" t="s">
        <v>432</v>
      </c>
      <c r="C390" s="70" t="s">
        <v>147</v>
      </c>
      <c r="D390" s="52">
        <v>14000000000</v>
      </c>
      <c r="E390" s="52">
        <v>13807056000</v>
      </c>
      <c r="F390" s="14">
        <f t="shared" si="26"/>
        <v>0.9862182857142857</v>
      </c>
    </row>
    <row r="391" spans="1:6" s="11" customFormat="1" ht="54" customHeight="1">
      <c r="A391" s="66"/>
      <c r="B391" s="67" t="s">
        <v>213</v>
      </c>
      <c r="C391" s="70" t="s">
        <v>147</v>
      </c>
      <c r="D391" s="52">
        <v>4000000000</v>
      </c>
      <c r="E391" s="52">
        <v>3851789000</v>
      </c>
      <c r="F391" s="14">
        <f t="shared" si="26"/>
        <v>0.96294725</v>
      </c>
    </row>
    <row r="392" spans="1:6" s="11" customFormat="1" ht="22.5" customHeight="1">
      <c r="A392" s="66"/>
      <c r="B392" s="67" t="s">
        <v>214</v>
      </c>
      <c r="C392" s="70" t="s">
        <v>147</v>
      </c>
      <c r="D392" s="52">
        <v>23000000000</v>
      </c>
      <c r="E392" s="52">
        <v>23000000000</v>
      </c>
      <c r="F392" s="14">
        <f t="shared" si="26"/>
        <v>1</v>
      </c>
    </row>
    <row r="393" spans="1:6" s="11" customFormat="1" ht="36.75" customHeight="1">
      <c r="A393" s="66"/>
      <c r="B393" s="67" t="s">
        <v>407</v>
      </c>
      <c r="C393" s="70" t="s">
        <v>147</v>
      </c>
      <c r="D393" s="52">
        <v>9000000000</v>
      </c>
      <c r="E393" s="52">
        <f>7726372000+231422000+300000000+742206000</f>
        <v>9000000000</v>
      </c>
      <c r="F393" s="14">
        <f t="shared" si="26"/>
        <v>1</v>
      </c>
    </row>
    <row r="394" spans="1:6" s="11" customFormat="1" ht="41.25" customHeight="1">
      <c r="A394" s="66"/>
      <c r="B394" s="67" t="s">
        <v>408</v>
      </c>
      <c r="C394" s="70" t="s">
        <v>147</v>
      </c>
      <c r="D394" s="52">
        <v>475293000</v>
      </c>
      <c r="E394" s="52">
        <v>475293000</v>
      </c>
      <c r="F394" s="14">
        <f t="shared" si="26"/>
        <v>1</v>
      </c>
    </row>
    <row r="395" spans="1:6" s="11" customFormat="1" ht="42.75" customHeight="1">
      <c r="A395" s="66"/>
      <c r="B395" s="67" t="s">
        <v>155</v>
      </c>
      <c r="C395" s="70" t="s">
        <v>147</v>
      </c>
      <c r="D395" s="52">
        <v>20000000000</v>
      </c>
      <c r="E395" s="52">
        <v>19644897000</v>
      </c>
      <c r="F395" s="14">
        <f t="shared" si="26"/>
        <v>0.98224485</v>
      </c>
    </row>
    <row r="396" spans="1:6" s="11" customFormat="1" ht="54" customHeight="1">
      <c r="A396" s="66"/>
      <c r="B396" s="67" t="s">
        <v>155</v>
      </c>
      <c r="C396" s="83" t="s">
        <v>149</v>
      </c>
      <c r="D396" s="52">
        <v>10000000000</v>
      </c>
      <c r="E396" s="52"/>
      <c r="F396" s="14">
        <f t="shared" si="26"/>
        <v>0</v>
      </c>
    </row>
    <row r="397" spans="1:6" s="11" customFormat="1" ht="41.25" customHeight="1">
      <c r="A397" s="66"/>
      <c r="B397" s="67" t="s">
        <v>155</v>
      </c>
      <c r="C397" s="83" t="s">
        <v>409</v>
      </c>
      <c r="D397" s="52">
        <v>3093203000</v>
      </c>
      <c r="E397" s="52">
        <v>3093203000</v>
      </c>
      <c r="F397" s="14">
        <f t="shared" si="26"/>
        <v>1</v>
      </c>
    </row>
    <row r="398" spans="1:6" s="13" customFormat="1" ht="54.75" customHeight="1">
      <c r="A398" s="66"/>
      <c r="B398" s="67" t="s">
        <v>226</v>
      </c>
      <c r="C398" s="83" t="s">
        <v>152</v>
      </c>
      <c r="D398" s="52">
        <v>40000000000</v>
      </c>
      <c r="E398" s="52">
        <f>35775436000+100000000+3814000000+191812000+100000000+18752000</f>
        <v>40000000000</v>
      </c>
      <c r="F398" s="14">
        <f t="shared" si="26"/>
        <v>1</v>
      </c>
    </row>
    <row r="399" spans="1:6" s="11" customFormat="1" ht="40.5" customHeight="1">
      <c r="A399" s="66"/>
      <c r="B399" s="67" t="s">
        <v>214</v>
      </c>
      <c r="C399" s="83" t="s">
        <v>152</v>
      </c>
      <c r="D399" s="52">
        <v>10000000000</v>
      </c>
      <c r="E399" s="52">
        <f>8387357100+297045000</f>
        <v>8684402100</v>
      </c>
      <c r="F399" s="14">
        <f t="shared" si="26"/>
        <v>0.86844021</v>
      </c>
    </row>
    <row r="400" spans="1:6" s="11" customFormat="1" ht="19.5" customHeight="1">
      <c r="A400" s="66">
        <v>20</v>
      </c>
      <c r="B400" s="71" t="s">
        <v>182</v>
      </c>
      <c r="C400" s="71"/>
      <c r="D400" s="53">
        <f>D401+D402</f>
        <v>1353000000</v>
      </c>
      <c r="E400" s="53">
        <f>E401+E402</f>
        <v>1353000000</v>
      </c>
      <c r="F400" s="18">
        <f>F401</f>
        <v>1</v>
      </c>
    </row>
    <row r="401" spans="1:6" s="11" customFormat="1" ht="36.75" customHeight="1">
      <c r="A401" s="66"/>
      <c r="B401" s="67" t="s">
        <v>183</v>
      </c>
      <c r="C401" s="70" t="s">
        <v>147</v>
      </c>
      <c r="D401" s="52">
        <v>500000000</v>
      </c>
      <c r="E401" s="52">
        <v>500000000</v>
      </c>
      <c r="F401" s="14">
        <f>E401/D401</f>
        <v>1</v>
      </c>
    </row>
    <row r="402" spans="1:6" s="11" customFormat="1" ht="42" customHeight="1">
      <c r="A402" s="66"/>
      <c r="B402" s="67" t="s">
        <v>440</v>
      </c>
      <c r="C402" s="83" t="s">
        <v>152</v>
      </c>
      <c r="D402" s="52">
        <v>853000000</v>
      </c>
      <c r="E402" s="52">
        <v>853000000</v>
      </c>
      <c r="F402" s="14">
        <f>E402/D402</f>
        <v>1</v>
      </c>
    </row>
    <row r="403" spans="1:6" s="11" customFormat="1" ht="19.5" customHeight="1">
      <c r="A403" s="66">
        <v>21</v>
      </c>
      <c r="B403" s="71" t="s">
        <v>85</v>
      </c>
      <c r="C403" s="68"/>
      <c r="D403" s="53">
        <f>D404</f>
        <v>8000000000</v>
      </c>
      <c r="E403" s="53">
        <f>E404</f>
        <v>4233026000</v>
      </c>
      <c r="F403" s="18">
        <f>E403/D403</f>
        <v>0.52912825</v>
      </c>
    </row>
    <row r="404" spans="1:6" s="11" customFormat="1" ht="33" customHeight="1">
      <c r="A404" s="66"/>
      <c r="B404" s="67" t="s">
        <v>86</v>
      </c>
      <c r="C404" s="83" t="s">
        <v>149</v>
      </c>
      <c r="D404" s="52">
        <v>8000000000</v>
      </c>
      <c r="E404" s="52">
        <f>3796703000+436323000</f>
        <v>4233026000</v>
      </c>
      <c r="F404" s="14">
        <f>E404/D404</f>
        <v>0.52912825</v>
      </c>
    </row>
    <row r="405" spans="1:6" s="11" customFormat="1" ht="19.5" customHeight="1">
      <c r="A405" s="66">
        <v>22</v>
      </c>
      <c r="B405" s="71" t="s">
        <v>217</v>
      </c>
      <c r="C405" s="71"/>
      <c r="D405" s="53">
        <f>D406+D407</f>
        <v>5386666600</v>
      </c>
      <c r="E405" s="53">
        <f>E406+E407</f>
        <v>439428400</v>
      </c>
      <c r="F405" s="18">
        <f>F406</f>
        <v>0.30382763859097217</v>
      </c>
    </row>
    <row r="406" spans="1:6" s="11" customFormat="1" ht="36.75" customHeight="1">
      <c r="A406" s="66"/>
      <c r="B406" s="67" t="s">
        <v>89</v>
      </c>
      <c r="C406" s="70" t="s">
        <v>148</v>
      </c>
      <c r="D406" s="52">
        <v>386666600</v>
      </c>
      <c r="E406" s="52">
        <v>117480000</v>
      </c>
      <c r="F406" s="14">
        <f aca="true" t="shared" si="27" ref="F406:F414">E406/D406</f>
        <v>0.30382763859097217</v>
      </c>
    </row>
    <row r="407" spans="1:6" s="11" customFormat="1" ht="36.75" customHeight="1">
      <c r="A407" s="66"/>
      <c r="B407" s="67" t="s">
        <v>89</v>
      </c>
      <c r="C407" s="83" t="s">
        <v>152</v>
      </c>
      <c r="D407" s="52">
        <v>5000000000</v>
      </c>
      <c r="E407" s="52">
        <v>321948400</v>
      </c>
      <c r="F407" s="14">
        <f t="shared" si="27"/>
        <v>0.06438968</v>
      </c>
    </row>
    <row r="408" spans="1:6" s="11" customFormat="1" ht="19.5" customHeight="1">
      <c r="A408" s="66">
        <v>23</v>
      </c>
      <c r="B408" s="71" t="s">
        <v>91</v>
      </c>
      <c r="C408" s="68"/>
      <c r="D408" s="53">
        <f>SUM(D409:D412)</f>
        <v>7476000000</v>
      </c>
      <c r="E408" s="53">
        <f>SUM(E409:E412)</f>
        <v>2000000000</v>
      </c>
      <c r="F408" s="18">
        <f t="shared" si="27"/>
        <v>0.2675227394328518</v>
      </c>
    </row>
    <row r="409" spans="1:6" s="40" customFormat="1" ht="30.75" customHeight="1">
      <c r="A409" s="66"/>
      <c r="B409" s="67" t="s">
        <v>90</v>
      </c>
      <c r="C409" s="83" t="s">
        <v>150</v>
      </c>
      <c r="D409" s="52">
        <v>476000000</v>
      </c>
      <c r="E409" s="52"/>
      <c r="F409" s="14">
        <f t="shared" si="27"/>
        <v>0</v>
      </c>
    </row>
    <row r="410" spans="1:6" s="40" customFormat="1" ht="39.75" customHeight="1">
      <c r="A410" s="66"/>
      <c r="B410" s="67" t="s">
        <v>184</v>
      </c>
      <c r="C410" s="83" t="s">
        <v>392</v>
      </c>
      <c r="D410" s="52">
        <v>2000000000</v>
      </c>
      <c r="E410" s="52"/>
      <c r="F410" s="14">
        <f t="shared" si="27"/>
        <v>0</v>
      </c>
    </row>
    <row r="411" spans="1:6" s="40" customFormat="1" ht="37.5" customHeight="1">
      <c r="A411" s="66"/>
      <c r="B411" s="67" t="s">
        <v>184</v>
      </c>
      <c r="C411" s="83" t="s">
        <v>149</v>
      </c>
      <c r="D411" s="52">
        <v>2000000000</v>
      </c>
      <c r="E411" s="52"/>
      <c r="F411" s="14">
        <f t="shared" si="27"/>
        <v>0</v>
      </c>
    </row>
    <row r="412" spans="1:6" s="40" customFormat="1" ht="36.75" customHeight="1">
      <c r="A412" s="66"/>
      <c r="B412" s="67" t="s">
        <v>184</v>
      </c>
      <c r="C412" s="83" t="s">
        <v>409</v>
      </c>
      <c r="D412" s="52">
        <v>3000000000</v>
      </c>
      <c r="E412" s="52">
        <v>2000000000</v>
      </c>
      <c r="F412" s="14">
        <f t="shared" si="27"/>
        <v>0.6666666666666666</v>
      </c>
    </row>
    <row r="413" spans="1:6" s="45" customFormat="1" ht="36.75" customHeight="1">
      <c r="A413" s="66">
        <v>24</v>
      </c>
      <c r="B413" s="78" t="s">
        <v>412</v>
      </c>
      <c r="C413" s="71"/>
      <c r="D413" s="53">
        <f>D414</f>
        <v>3500000000</v>
      </c>
      <c r="E413" s="53">
        <f>E414</f>
        <v>3498414000</v>
      </c>
      <c r="F413" s="18">
        <f t="shared" si="27"/>
        <v>0.9995468571428572</v>
      </c>
    </row>
    <row r="414" spans="1:6" s="40" customFormat="1" ht="27" customHeight="1">
      <c r="A414" s="66"/>
      <c r="B414" s="67" t="s">
        <v>458</v>
      </c>
      <c r="C414" s="83" t="s">
        <v>147</v>
      </c>
      <c r="D414" s="52">
        <v>3500000000</v>
      </c>
      <c r="E414" s="52">
        <v>3498414000</v>
      </c>
      <c r="F414" s="14">
        <f t="shared" si="27"/>
        <v>0.9995468571428572</v>
      </c>
    </row>
    <row r="415" spans="1:6" s="39" customFormat="1" ht="36.75" customHeight="1">
      <c r="A415" s="66">
        <v>25</v>
      </c>
      <c r="B415" s="71" t="s">
        <v>186</v>
      </c>
      <c r="C415" s="68"/>
      <c r="D415" s="53">
        <f>D416</f>
        <v>900000000</v>
      </c>
      <c r="E415" s="53">
        <f>E416</f>
        <v>900000000</v>
      </c>
      <c r="F415" s="18">
        <f>F416</f>
        <v>1</v>
      </c>
    </row>
    <row r="416" spans="1:6" ht="49.5" customHeight="1">
      <c r="A416" s="66"/>
      <c r="B416" s="67" t="s">
        <v>187</v>
      </c>
      <c r="C416" s="70" t="s">
        <v>148</v>
      </c>
      <c r="D416" s="52">
        <v>900000000</v>
      </c>
      <c r="E416" s="52">
        <v>900000000</v>
      </c>
      <c r="F416" s="14">
        <f>E416/D416</f>
        <v>1</v>
      </c>
    </row>
    <row r="417" spans="1:6" ht="37.5" customHeight="1">
      <c r="A417" s="66">
        <v>26</v>
      </c>
      <c r="B417" s="71" t="s">
        <v>218</v>
      </c>
      <c r="C417" s="70"/>
      <c r="D417" s="53">
        <f>D418</f>
        <v>18689000</v>
      </c>
      <c r="E417" s="53"/>
      <c r="F417" s="18">
        <f>E417/D417</f>
        <v>0</v>
      </c>
    </row>
    <row r="418" spans="1:6" ht="40.5" customHeight="1">
      <c r="A418" s="66"/>
      <c r="B418" s="67" t="s">
        <v>185</v>
      </c>
      <c r="C418" s="70" t="s">
        <v>150</v>
      </c>
      <c r="D418" s="52">
        <v>18689000</v>
      </c>
      <c r="E418" s="52"/>
      <c r="F418" s="14">
        <f>E418/D418</f>
        <v>0</v>
      </c>
    </row>
    <row r="419" spans="1:6" s="39" customFormat="1" ht="36.75" customHeight="1">
      <c r="A419" s="66">
        <v>27</v>
      </c>
      <c r="B419" s="72" t="s">
        <v>410</v>
      </c>
      <c r="C419" s="68"/>
      <c r="D419" s="53">
        <f>D420</f>
        <v>2000000000</v>
      </c>
      <c r="E419" s="53">
        <f>E420</f>
        <v>1777335345</v>
      </c>
      <c r="F419" s="18">
        <f>F420</f>
        <v>0.8886676725</v>
      </c>
    </row>
    <row r="420" spans="1:6" ht="36.75" customHeight="1">
      <c r="A420" s="69"/>
      <c r="B420" s="67" t="s">
        <v>411</v>
      </c>
      <c r="C420" s="90" t="s">
        <v>147</v>
      </c>
      <c r="D420" s="52">
        <v>2000000000</v>
      </c>
      <c r="E420" s="52">
        <v>1777335345</v>
      </c>
      <c r="F420" s="14">
        <f aca="true" t="shared" si="28" ref="F420:F434">E420/D420</f>
        <v>0.8886676725</v>
      </c>
    </row>
    <row r="421" spans="1:6" s="39" customFormat="1" ht="36.75" customHeight="1">
      <c r="A421" s="66">
        <v>28</v>
      </c>
      <c r="B421" s="71" t="s">
        <v>188</v>
      </c>
      <c r="C421" s="72"/>
      <c r="D421" s="53">
        <f>SUM(D422:D460)</f>
        <v>266085672100</v>
      </c>
      <c r="E421" s="53">
        <f>SUM(E422:E460)</f>
        <v>44046482500</v>
      </c>
      <c r="F421" s="18">
        <f t="shared" si="28"/>
        <v>0.16553496530788964</v>
      </c>
    </row>
    <row r="422" spans="1:6" s="39" customFormat="1" ht="30.75" customHeight="1">
      <c r="A422" s="66"/>
      <c r="B422" s="83" t="s">
        <v>422</v>
      </c>
      <c r="C422" s="123" t="s">
        <v>430</v>
      </c>
      <c r="D422" s="52">
        <v>48750000000</v>
      </c>
      <c r="E422" s="53"/>
      <c r="F422" s="14">
        <f t="shared" si="28"/>
        <v>0</v>
      </c>
    </row>
    <row r="423" spans="1:6" s="39" customFormat="1" ht="30.75" customHeight="1">
      <c r="A423" s="66"/>
      <c r="B423" s="67" t="s">
        <v>95</v>
      </c>
      <c r="C423" s="123" t="s">
        <v>430</v>
      </c>
      <c r="D423" s="52">
        <v>4416000000</v>
      </c>
      <c r="E423" s="53"/>
      <c r="F423" s="14">
        <f t="shared" si="28"/>
        <v>0</v>
      </c>
    </row>
    <row r="424" spans="1:6" s="39" customFormat="1" ht="27.75" customHeight="1">
      <c r="A424" s="66"/>
      <c r="B424" s="67" t="s">
        <v>94</v>
      </c>
      <c r="C424" s="123" t="s">
        <v>430</v>
      </c>
      <c r="D424" s="52">
        <v>475000000</v>
      </c>
      <c r="E424" s="53"/>
      <c r="F424" s="14">
        <f t="shared" si="28"/>
        <v>0</v>
      </c>
    </row>
    <row r="425" spans="1:6" s="39" customFormat="1" ht="25.5" customHeight="1">
      <c r="A425" s="66"/>
      <c r="B425" s="67" t="s">
        <v>230</v>
      </c>
      <c r="C425" s="123" t="s">
        <v>430</v>
      </c>
      <c r="D425" s="52">
        <v>777000000</v>
      </c>
      <c r="E425" s="53"/>
      <c r="F425" s="14">
        <f t="shared" si="28"/>
        <v>0</v>
      </c>
    </row>
    <row r="426" spans="1:6" s="39" customFormat="1" ht="25.5" customHeight="1">
      <c r="A426" s="66"/>
      <c r="B426" s="67" t="s">
        <v>231</v>
      </c>
      <c r="C426" s="123" t="s">
        <v>430</v>
      </c>
      <c r="D426" s="52">
        <v>1967000000</v>
      </c>
      <c r="E426" s="53"/>
      <c r="F426" s="14">
        <f t="shared" si="28"/>
        <v>0</v>
      </c>
    </row>
    <row r="427" spans="1:6" s="39" customFormat="1" ht="25.5" customHeight="1">
      <c r="A427" s="66"/>
      <c r="B427" s="67" t="s">
        <v>232</v>
      </c>
      <c r="C427" s="123" t="s">
        <v>430</v>
      </c>
      <c r="D427" s="52">
        <v>3470000000</v>
      </c>
      <c r="E427" s="53"/>
      <c r="F427" s="14">
        <f t="shared" si="28"/>
        <v>0</v>
      </c>
    </row>
    <row r="428" spans="1:6" s="39" customFormat="1" ht="25.5" customHeight="1">
      <c r="A428" s="66"/>
      <c r="B428" s="67" t="s">
        <v>233</v>
      </c>
      <c r="C428" s="123" t="s">
        <v>430</v>
      </c>
      <c r="D428" s="52">
        <v>13324000000</v>
      </c>
      <c r="E428" s="53"/>
      <c r="F428" s="14">
        <f t="shared" si="28"/>
        <v>0</v>
      </c>
    </row>
    <row r="429" spans="1:6" s="39" customFormat="1" ht="25.5" customHeight="1">
      <c r="A429" s="66"/>
      <c r="B429" s="67" t="s">
        <v>242</v>
      </c>
      <c r="C429" s="123" t="s">
        <v>430</v>
      </c>
      <c r="D429" s="52">
        <v>12607000000</v>
      </c>
      <c r="E429" s="53"/>
      <c r="F429" s="14">
        <f t="shared" si="28"/>
        <v>0</v>
      </c>
    </row>
    <row r="430" spans="1:6" s="39" customFormat="1" ht="25.5" customHeight="1">
      <c r="A430" s="66"/>
      <c r="B430" s="67" t="s">
        <v>234</v>
      </c>
      <c r="C430" s="123" t="s">
        <v>430</v>
      </c>
      <c r="D430" s="52">
        <v>9241000000</v>
      </c>
      <c r="E430" s="52">
        <v>7800050000</v>
      </c>
      <c r="F430" s="14">
        <f t="shared" si="28"/>
        <v>0.8440699058543447</v>
      </c>
    </row>
    <row r="431" spans="1:6" s="39" customFormat="1" ht="25.5" customHeight="1">
      <c r="A431" s="66"/>
      <c r="B431" s="67" t="s">
        <v>452</v>
      </c>
      <c r="C431" s="123" t="s">
        <v>430</v>
      </c>
      <c r="D431" s="52">
        <v>981000000</v>
      </c>
      <c r="E431" s="53"/>
      <c r="F431" s="14">
        <f t="shared" si="28"/>
        <v>0</v>
      </c>
    </row>
    <row r="432" spans="1:6" s="39" customFormat="1" ht="25.5" customHeight="1">
      <c r="A432" s="66"/>
      <c r="B432" s="67" t="s">
        <v>235</v>
      </c>
      <c r="C432" s="123" t="s">
        <v>430</v>
      </c>
      <c r="D432" s="52">
        <v>10408000000</v>
      </c>
      <c r="E432" s="53"/>
      <c r="F432" s="14">
        <f t="shared" si="28"/>
        <v>0</v>
      </c>
    </row>
    <row r="433" spans="1:6" s="39" customFormat="1" ht="50.25" customHeight="1">
      <c r="A433" s="66"/>
      <c r="B433" s="67" t="s">
        <v>220</v>
      </c>
      <c r="C433" s="123" t="s">
        <v>430</v>
      </c>
      <c r="D433" s="52">
        <v>20653000000</v>
      </c>
      <c r="E433" s="53"/>
      <c r="F433" s="14">
        <f t="shared" si="28"/>
        <v>0</v>
      </c>
    </row>
    <row r="434" spans="1:6" s="39" customFormat="1" ht="50.25" customHeight="1">
      <c r="A434" s="66"/>
      <c r="B434" s="67" t="s">
        <v>219</v>
      </c>
      <c r="C434" s="123" t="s">
        <v>430</v>
      </c>
      <c r="D434" s="52">
        <v>16610000000</v>
      </c>
      <c r="E434" s="52">
        <v>2355000000</v>
      </c>
      <c r="F434" s="14">
        <f t="shared" si="28"/>
        <v>0.14178205900060203</v>
      </c>
    </row>
    <row r="435" spans="1:6" s="39" customFormat="1" ht="50.25" customHeight="1">
      <c r="A435" s="66"/>
      <c r="B435" s="67" t="s">
        <v>236</v>
      </c>
      <c r="C435" s="123" t="s">
        <v>430</v>
      </c>
      <c r="D435" s="52">
        <v>10970000000</v>
      </c>
      <c r="E435" s="53"/>
      <c r="F435" s="14">
        <f aca="true" t="shared" si="29" ref="F435:F441">E435/D435</f>
        <v>0</v>
      </c>
    </row>
    <row r="436" spans="1:6" s="39" customFormat="1" ht="48" customHeight="1">
      <c r="A436" s="66"/>
      <c r="B436" s="67" t="s">
        <v>237</v>
      </c>
      <c r="C436" s="123" t="s">
        <v>430</v>
      </c>
      <c r="D436" s="52">
        <v>20889000000</v>
      </c>
      <c r="E436" s="53"/>
      <c r="F436" s="14">
        <f t="shared" si="29"/>
        <v>0</v>
      </c>
    </row>
    <row r="437" spans="1:6" s="39" customFormat="1" ht="52.5" customHeight="1">
      <c r="A437" s="66"/>
      <c r="B437" s="67" t="s">
        <v>224</v>
      </c>
      <c r="C437" s="123" t="s">
        <v>430</v>
      </c>
      <c r="D437" s="52">
        <v>7141000000</v>
      </c>
      <c r="E437" s="52">
        <v>1560000000</v>
      </c>
      <c r="F437" s="14">
        <f t="shared" si="29"/>
        <v>0.2184567987676796</v>
      </c>
    </row>
    <row r="438" spans="1:6" s="39" customFormat="1" ht="49.5" customHeight="1">
      <c r="A438" s="66"/>
      <c r="B438" s="67" t="s">
        <v>222</v>
      </c>
      <c r="C438" s="123" t="s">
        <v>430</v>
      </c>
      <c r="D438" s="52">
        <v>10815000000</v>
      </c>
      <c r="E438" s="53"/>
      <c r="F438" s="14">
        <f t="shared" si="29"/>
        <v>0</v>
      </c>
    </row>
    <row r="439" spans="1:6" s="39" customFormat="1" ht="39.75" customHeight="1">
      <c r="A439" s="66"/>
      <c r="B439" s="67" t="s">
        <v>223</v>
      </c>
      <c r="C439" s="123" t="s">
        <v>430</v>
      </c>
      <c r="D439" s="52">
        <v>7862000000</v>
      </c>
      <c r="E439" s="53"/>
      <c r="F439" s="14">
        <f t="shared" si="29"/>
        <v>0</v>
      </c>
    </row>
    <row r="440" spans="1:6" s="39" customFormat="1" ht="48" customHeight="1">
      <c r="A440" s="66"/>
      <c r="B440" s="67" t="s">
        <v>238</v>
      </c>
      <c r="C440" s="123" t="s">
        <v>430</v>
      </c>
      <c r="D440" s="52">
        <v>8895000000</v>
      </c>
      <c r="E440" s="53"/>
      <c r="F440" s="14">
        <f t="shared" si="29"/>
        <v>0</v>
      </c>
    </row>
    <row r="441" spans="1:6" s="39" customFormat="1" ht="49.5" customHeight="1">
      <c r="A441" s="66"/>
      <c r="B441" s="67" t="s">
        <v>221</v>
      </c>
      <c r="C441" s="123" t="s">
        <v>430</v>
      </c>
      <c r="D441" s="52">
        <v>18200000000</v>
      </c>
      <c r="E441" s="53"/>
      <c r="F441" s="14">
        <f t="shared" si="29"/>
        <v>0</v>
      </c>
    </row>
    <row r="442" spans="1:6" ht="30" customHeight="1">
      <c r="A442" s="69"/>
      <c r="B442" s="67" t="s">
        <v>95</v>
      </c>
      <c r="C442" s="123" t="s">
        <v>429</v>
      </c>
      <c r="D442" s="52">
        <v>528189400</v>
      </c>
      <c r="E442" s="52">
        <v>229409600</v>
      </c>
      <c r="F442" s="14">
        <f aca="true" t="shared" si="30" ref="F442:F460">E442/D442</f>
        <v>0.43433207860665135</v>
      </c>
    </row>
    <row r="443" spans="1:6" ht="30" customHeight="1">
      <c r="A443" s="69"/>
      <c r="B443" s="67" t="s">
        <v>94</v>
      </c>
      <c r="C443" s="123" t="s">
        <v>429</v>
      </c>
      <c r="D443" s="52">
        <v>30146700</v>
      </c>
      <c r="E443" s="52">
        <v>7991200</v>
      </c>
      <c r="F443" s="14">
        <f t="shared" si="30"/>
        <v>0.2650771062836065</v>
      </c>
    </row>
    <row r="444" spans="1:6" ht="30" customHeight="1">
      <c r="A444" s="69"/>
      <c r="B444" s="67" t="s">
        <v>230</v>
      </c>
      <c r="C444" s="123" t="s">
        <v>429</v>
      </c>
      <c r="D444" s="52">
        <v>139100000</v>
      </c>
      <c r="E444" s="52">
        <v>35000000</v>
      </c>
      <c r="F444" s="14">
        <f t="shared" si="30"/>
        <v>0.2516175413371675</v>
      </c>
    </row>
    <row r="445" spans="1:6" ht="30" customHeight="1">
      <c r="A445" s="69"/>
      <c r="B445" s="67" t="s">
        <v>231</v>
      </c>
      <c r="C445" s="123" t="s">
        <v>429</v>
      </c>
      <c r="D445" s="52">
        <v>525806900</v>
      </c>
      <c r="E445" s="52">
        <v>525806900</v>
      </c>
      <c r="F445" s="14">
        <f t="shared" si="30"/>
        <v>1</v>
      </c>
    </row>
    <row r="446" spans="1:6" ht="30" customHeight="1">
      <c r="A446" s="69"/>
      <c r="B446" s="67" t="s">
        <v>232</v>
      </c>
      <c r="C446" s="123" t="s">
        <v>429</v>
      </c>
      <c r="D446" s="52">
        <v>3845096900</v>
      </c>
      <c r="E446" s="52">
        <f>1666666700+833333300</f>
        <v>2500000000</v>
      </c>
      <c r="F446" s="14">
        <f t="shared" si="30"/>
        <v>0.6501786730004125</v>
      </c>
    </row>
    <row r="447" spans="1:6" ht="30" customHeight="1">
      <c r="A447" s="69"/>
      <c r="B447" s="67" t="s">
        <v>233</v>
      </c>
      <c r="C447" s="123" t="s">
        <v>429</v>
      </c>
      <c r="D447" s="52">
        <v>2772804000</v>
      </c>
      <c r="E447" s="52">
        <f>1333333300+666666700</f>
        <v>2000000000</v>
      </c>
      <c r="F447" s="14">
        <f t="shared" si="30"/>
        <v>0.721291515736417</v>
      </c>
    </row>
    <row r="448" spans="1:6" ht="30" customHeight="1">
      <c r="A448" s="69"/>
      <c r="B448" s="67" t="s">
        <v>242</v>
      </c>
      <c r="C448" s="123" t="s">
        <v>429</v>
      </c>
      <c r="D448" s="58"/>
      <c r="E448" s="52"/>
      <c r="F448" s="14"/>
    </row>
    <row r="449" spans="1:6" ht="30" customHeight="1">
      <c r="A449" s="69"/>
      <c r="B449" s="67" t="s">
        <v>234</v>
      </c>
      <c r="C449" s="123" t="s">
        <v>429</v>
      </c>
      <c r="D449" s="52">
        <f>1288619300-1253923300</f>
        <v>34696000</v>
      </c>
      <c r="E449" s="52">
        <f>34310300+50000</f>
        <v>34360300</v>
      </c>
      <c r="F449" s="14">
        <f t="shared" si="30"/>
        <v>0.9903245330873875</v>
      </c>
    </row>
    <row r="450" spans="1:6" ht="30" customHeight="1">
      <c r="A450" s="69"/>
      <c r="B450" s="67" t="s">
        <v>452</v>
      </c>
      <c r="C450" s="123" t="s">
        <v>429</v>
      </c>
      <c r="D450" s="52">
        <v>1253923300</v>
      </c>
      <c r="E450" s="52">
        <v>1253923300</v>
      </c>
      <c r="F450" s="14">
        <f t="shared" si="30"/>
        <v>1</v>
      </c>
    </row>
    <row r="451" spans="1:6" ht="30" customHeight="1">
      <c r="A451" s="69"/>
      <c r="B451" s="67" t="s">
        <v>235</v>
      </c>
      <c r="C451" s="123" t="s">
        <v>429</v>
      </c>
      <c r="D451" s="52">
        <v>307923800</v>
      </c>
      <c r="E451" s="52"/>
      <c r="F451" s="14">
        <f t="shared" si="30"/>
        <v>0</v>
      </c>
    </row>
    <row r="452" spans="1:10" s="46" customFormat="1" ht="51.75" customHeight="1">
      <c r="A452" s="69"/>
      <c r="B452" s="67" t="s">
        <v>220</v>
      </c>
      <c r="C452" s="123" t="s">
        <v>429</v>
      </c>
      <c r="D452" s="52">
        <f>669903100+4727329000</f>
        <v>5397232100</v>
      </c>
      <c r="E452" s="52">
        <f>3640000000+1700000000+26801600</f>
        <v>5366801600</v>
      </c>
      <c r="F452" s="14">
        <f t="shared" si="30"/>
        <v>0.994361832243605</v>
      </c>
      <c r="G452" s="6"/>
      <c r="H452" s="6"/>
      <c r="I452" s="6"/>
      <c r="J452" s="6"/>
    </row>
    <row r="453" spans="1:6" ht="50.25" customHeight="1">
      <c r="A453" s="69"/>
      <c r="B453" s="67" t="s">
        <v>219</v>
      </c>
      <c r="C453" s="123" t="s">
        <v>429</v>
      </c>
      <c r="D453" s="52">
        <v>3827806900</v>
      </c>
      <c r="E453" s="52">
        <f>2658564300+457993100</f>
        <v>3116557400</v>
      </c>
      <c r="F453" s="14">
        <f t="shared" si="30"/>
        <v>0.8141887721661194</v>
      </c>
    </row>
    <row r="454" spans="1:6" ht="48.75" customHeight="1">
      <c r="A454" s="69"/>
      <c r="B454" s="67" t="s">
        <v>236</v>
      </c>
      <c r="C454" s="123" t="s">
        <v>429</v>
      </c>
      <c r="D454" s="52">
        <f>800000000+2000000000</f>
        <v>2800000000</v>
      </c>
      <c r="E454" s="52">
        <f>800000000+2000000000</f>
        <v>2800000000</v>
      </c>
      <c r="F454" s="14">
        <f t="shared" si="30"/>
        <v>1</v>
      </c>
    </row>
    <row r="455" spans="1:6" ht="49.5" customHeight="1">
      <c r="A455" s="69"/>
      <c r="B455" s="67" t="s">
        <v>237</v>
      </c>
      <c r="C455" s="123" t="s">
        <v>429</v>
      </c>
      <c r="D455" s="52">
        <v>3887064700</v>
      </c>
      <c r="E455" s="52">
        <v>3305368400</v>
      </c>
      <c r="F455" s="14">
        <f t="shared" si="30"/>
        <v>0.850350754388009</v>
      </c>
    </row>
    <row r="456" spans="1:10" s="46" customFormat="1" ht="51.75" customHeight="1">
      <c r="A456" s="69"/>
      <c r="B456" s="67" t="s">
        <v>224</v>
      </c>
      <c r="C456" s="123" t="s">
        <v>429</v>
      </c>
      <c r="D456" s="52">
        <v>169226700</v>
      </c>
      <c r="E456" s="52">
        <f>147550600+17337300</f>
        <v>164887900</v>
      </c>
      <c r="F456" s="14">
        <f t="shared" si="30"/>
        <v>0.9743610198627048</v>
      </c>
      <c r="G456" s="6"/>
      <c r="H456" s="6"/>
      <c r="I456" s="6"/>
      <c r="J456" s="6"/>
    </row>
    <row r="457" spans="1:6" ht="53.25" customHeight="1">
      <c r="A457" s="69"/>
      <c r="B457" s="67" t="s">
        <v>222</v>
      </c>
      <c r="C457" s="123" t="s">
        <v>429</v>
      </c>
      <c r="D457" s="52">
        <v>2800000000</v>
      </c>
      <c r="E457" s="52">
        <v>2797578600</v>
      </c>
      <c r="F457" s="14">
        <f t="shared" si="30"/>
        <v>0.9991352142857143</v>
      </c>
    </row>
    <row r="458" spans="1:6" ht="48" customHeight="1">
      <c r="A458" s="69"/>
      <c r="B458" s="67" t="s">
        <v>223</v>
      </c>
      <c r="C458" s="123" t="s">
        <v>429</v>
      </c>
      <c r="D458" s="52">
        <v>3380707000</v>
      </c>
      <c r="E458" s="52">
        <f>3275000000+43328000</f>
        <v>3318328000</v>
      </c>
      <c r="F458" s="14">
        <f t="shared" si="30"/>
        <v>0.9815485340788185</v>
      </c>
    </row>
    <row r="459" spans="1:6" ht="49.5" customHeight="1">
      <c r="A459" s="69"/>
      <c r="B459" s="67" t="s">
        <v>238</v>
      </c>
      <c r="C459" s="123" t="s">
        <v>429</v>
      </c>
      <c r="D459" s="52">
        <v>2837626100</v>
      </c>
      <c r="E459" s="52">
        <f>2805473300+10018200</f>
        <v>2815491500</v>
      </c>
      <c r="F459" s="14">
        <f t="shared" si="30"/>
        <v>0.9921996065655021</v>
      </c>
    </row>
    <row r="460" spans="1:6" ht="46.5" customHeight="1">
      <c r="A460" s="69"/>
      <c r="B460" s="67" t="s">
        <v>221</v>
      </c>
      <c r="C460" s="123" t="s">
        <v>429</v>
      </c>
      <c r="D460" s="52">
        <v>3097321600</v>
      </c>
      <c r="E460" s="52">
        <f>2002090900+57836900</f>
        <v>2059927800</v>
      </c>
      <c r="F460" s="14">
        <f t="shared" si="30"/>
        <v>0.6650674569925189</v>
      </c>
    </row>
    <row r="461" spans="1:6" s="39" customFormat="1" ht="19.5" customHeight="1">
      <c r="A461" s="66">
        <v>29</v>
      </c>
      <c r="B461" s="71" t="s">
        <v>103</v>
      </c>
      <c r="C461" s="71"/>
      <c r="D461" s="53">
        <f>D462</f>
        <v>2000000000</v>
      </c>
      <c r="E461" s="53">
        <f>E462</f>
        <v>2000000000</v>
      </c>
      <c r="F461" s="18">
        <f>F462</f>
        <v>1</v>
      </c>
    </row>
    <row r="462" spans="1:6" ht="19.5" customHeight="1">
      <c r="A462" s="66"/>
      <c r="B462" s="67" t="s">
        <v>102</v>
      </c>
      <c r="C462" s="70" t="s">
        <v>147</v>
      </c>
      <c r="D462" s="52">
        <v>2000000000</v>
      </c>
      <c r="E462" s="52">
        <f>918669000+1081331000</f>
        <v>2000000000</v>
      </c>
      <c r="F462" s="14">
        <f>E462/D462</f>
        <v>1</v>
      </c>
    </row>
    <row r="463" spans="1:6" s="39" customFormat="1" ht="19.5" customHeight="1">
      <c r="A463" s="66">
        <v>30</v>
      </c>
      <c r="B463" s="72" t="s">
        <v>105</v>
      </c>
      <c r="C463" s="68"/>
      <c r="D463" s="53">
        <f>D464</f>
        <v>137316464</v>
      </c>
      <c r="E463" s="53">
        <f>E464</f>
        <v>0</v>
      </c>
      <c r="F463" s="18">
        <f>E463/D463</f>
        <v>0</v>
      </c>
    </row>
    <row r="464" spans="1:6" ht="19.5" customHeight="1">
      <c r="A464" s="66"/>
      <c r="B464" s="67" t="s">
        <v>104</v>
      </c>
      <c r="C464" s="70" t="s">
        <v>148</v>
      </c>
      <c r="D464" s="52">
        <v>137316464</v>
      </c>
      <c r="E464" s="52"/>
      <c r="F464" s="14">
        <f>E464/D464</f>
        <v>0</v>
      </c>
    </row>
    <row r="465" spans="1:6" s="39" customFormat="1" ht="19.5" customHeight="1">
      <c r="A465" s="66">
        <v>31</v>
      </c>
      <c r="B465" s="71" t="s">
        <v>106</v>
      </c>
      <c r="C465" s="68"/>
      <c r="D465" s="53">
        <f>D466</f>
        <v>1000000000</v>
      </c>
      <c r="E465" s="53">
        <f>E466</f>
        <v>1000000000</v>
      </c>
      <c r="F465" s="18">
        <f>F466</f>
        <v>1</v>
      </c>
    </row>
    <row r="466" spans="1:6" ht="29.25" customHeight="1">
      <c r="A466" s="66"/>
      <c r="B466" s="67" t="s">
        <v>190</v>
      </c>
      <c r="C466" s="70" t="s">
        <v>147</v>
      </c>
      <c r="D466" s="52">
        <v>1000000000</v>
      </c>
      <c r="E466" s="52">
        <f>700000000+300000000</f>
        <v>1000000000</v>
      </c>
      <c r="F466" s="14">
        <f>E466/D466</f>
        <v>1</v>
      </c>
    </row>
    <row r="467" spans="1:6" s="39" customFormat="1" ht="19.5" customHeight="1">
      <c r="A467" s="66">
        <v>32</v>
      </c>
      <c r="B467" s="71" t="s">
        <v>107</v>
      </c>
      <c r="C467" s="68"/>
      <c r="D467" s="53">
        <f>D468</f>
        <v>2000000000</v>
      </c>
      <c r="E467" s="53">
        <f>E468</f>
        <v>1500000000</v>
      </c>
      <c r="F467" s="18">
        <f>F468</f>
        <v>0.75</v>
      </c>
    </row>
    <row r="468" spans="1:6" ht="28.5" customHeight="1">
      <c r="A468" s="66"/>
      <c r="B468" s="67" t="s">
        <v>191</v>
      </c>
      <c r="C468" s="70" t="s">
        <v>149</v>
      </c>
      <c r="D468" s="52">
        <v>2000000000</v>
      </c>
      <c r="E468" s="52">
        <v>1500000000</v>
      </c>
      <c r="F468" s="14">
        <f aca="true" t="shared" si="31" ref="F468:F473">E468/D468</f>
        <v>0.75</v>
      </c>
    </row>
    <row r="469" spans="1:6" s="39" customFormat="1" ht="19.5" customHeight="1">
      <c r="A469" s="66">
        <v>33</v>
      </c>
      <c r="B469" s="71" t="s">
        <v>108</v>
      </c>
      <c r="C469" s="68"/>
      <c r="D469" s="53">
        <f>D470+D471</f>
        <v>3008000000</v>
      </c>
      <c r="E469" s="53">
        <f>E470+E471</f>
        <v>3000000000</v>
      </c>
      <c r="F469" s="18">
        <f t="shared" si="31"/>
        <v>0.9973404255319149</v>
      </c>
    </row>
    <row r="470" spans="1:6" ht="36" customHeight="1">
      <c r="A470" s="66"/>
      <c r="B470" s="67" t="s">
        <v>192</v>
      </c>
      <c r="C470" s="70" t="s">
        <v>147</v>
      </c>
      <c r="D470" s="52">
        <v>3000000000</v>
      </c>
      <c r="E470" s="52">
        <v>3000000000</v>
      </c>
      <c r="F470" s="14">
        <f t="shared" si="31"/>
        <v>1</v>
      </c>
    </row>
    <row r="471" spans="1:6" ht="32.25" customHeight="1">
      <c r="A471" s="66"/>
      <c r="B471" s="67" t="s">
        <v>109</v>
      </c>
      <c r="C471" s="83" t="s">
        <v>148</v>
      </c>
      <c r="D471" s="52">
        <v>8000000</v>
      </c>
      <c r="E471" s="52"/>
      <c r="F471" s="14">
        <f t="shared" si="31"/>
        <v>0</v>
      </c>
    </row>
    <row r="472" spans="1:6" ht="19.5" customHeight="1">
      <c r="A472" s="66">
        <v>34</v>
      </c>
      <c r="B472" s="71" t="s">
        <v>415</v>
      </c>
      <c r="C472" s="83"/>
      <c r="D472" s="126">
        <f>D473</f>
        <v>41477000</v>
      </c>
      <c r="E472" s="126">
        <f>E473</f>
        <v>0</v>
      </c>
      <c r="F472" s="18">
        <f t="shared" si="31"/>
        <v>0</v>
      </c>
    </row>
    <row r="473" spans="1:6" ht="29.25" customHeight="1">
      <c r="A473" s="66"/>
      <c r="B473" s="67" t="s">
        <v>416</v>
      </c>
      <c r="C473" s="70" t="s">
        <v>148</v>
      </c>
      <c r="D473" s="52">
        <v>41477000</v>
      </c>
      <c r="E473" s="52"/>
      <c r="F473" s="14">
        <f t="shared" si="31"/>
        <v>0</v>
      </c>
    </row>
    <row r="474" spans="1:6" s="11" customFormat="1" ht="27" customHeight="1">
      <c r="A474" s="66">
        <v>35</v>
      </c>
      <c r="B474" s="71" t="s">
        <v>69</v>
      </c>
      <c r="C474" s="72"/>
      <c r="D474" s="53">
        <f>D475</f>
        <v>92000000</v>
      </c>
      <c r="E474" s="53">
        <f>E475</f>
        <v>92000000</v>
      </c>
      <c r="F474" s="18">
        <f>F475</f>
        <v>1</v>
      </c>
    </row>
    <row r="475" spans="1:6" s="11" customFormat="1" ht="32.25" customHeight="1">
      <c r="A475" s="66"/>
      <c r="B475" s="67" t="s">
        <v>68</v>
      </c>
      <c r="C475" s="83" t="s">
        <v>147</v>
      </c>
      <c r="D475" s="52">
        <v>92000000</v>
      </c>
      <c r="E475" s="52">
        <v>92000000</v>
      </c>
      <c r="F475" s="14">
        <f aca="true" t="shared" si="32" ref="F475:F482">E475/D475</f>
        <v>1</v>
      </c>
    </row>
    <row r="476" spans="1:6" s="11" customFormat="1" ht="23.25" customHeight="1">
      <c r="A476" s="66">
        <v>36</v>
      </c>
      <c r="B476" s="78" t="s">
        <v>449</v>
      </c>
      <c r="C476" s="71"/>
      <c r="D476" s="53">
        <f>D477</f>
        <v>314000000</v>
      </c>
      <c r="E476" s="53">
        <f>E477</f>
        <v>217124500</v>
      </c>
      <c r="F476" s="14">
        <f t="shared" si="32"/>
        <v>0.6914792993630573</v>
      </c>
    </row>
    <row r="477" spans="1:6" s="11" customFormat="1" ht="34.5" customHeight="1">
      <c r="A477" s="66"/>
      <c r="B477" s="67" t="s">
        <v>451</v>
      </c>
      <c r="C477" s="83" t="s">
        <v>450</v>
      </c>
      <c r="D477" s="52">
        <v>314000000</v>
      </c>
      <c r="E477" s="52">
        <v>217124500</v>
      </c>
      <c r="F477" s="14">
        <f t="shared" si="32"/>
        <v>0.6914792993630573</v>
      </c>
    </row>
    <row r="478" spans="1:6" s="11" customFormat="1" ht="23.25" customHeight="1">
      <c r="A478" s="66">
        <v>36</v>
      </c>
      <c r="B478" s="88" t="s">
        <v>70</v>
      </c>
      <c r="C478" s="71"/>
      <c r="D478" s="53">
        <f>SUM(D479:D482)</f>
        <v>57656500000</v>
      </c>
      <c r="E478" s="53">
        <f>SUM(E479:E482)</f>
        <v>57656500000</v>
      </c>
      <c r="F478" s="18">
        <f t="shared" si="32"/>
        <v>1</v>
      </c>
    </row>
    <row r="479" spans="1:6" s="11" customFormat="1" ht="38.25" customHeight="1">
      <c r="A479" s="66"/>
      <c r="B479" s="67" t="s">
        <v>179</v>
      </c>
      <c r="C479" s="83" t="s">
        <v>152</v>
      </c>
      <c r="D479" s="52">
        <v>10000000000</v>
      </c>
      <c r="E479" s="52">
        <v>10000000000</v>
      </c>
      <c r="F479" s="14">
        <f t="shared" si="32"/>
        <v>1</v>
      </c>
    </row>
    <row r="480" spans="1:6" s="11" customFormat="1" ht="27.75" customHeight="1">
      <c r="A480" s="66"/>
      <c r="B480" s="67" t="s">
        <v>453</v>
      </c>
      <c r="C480" s="70" t="s">
        <v>149</v>
      </c>
      <c r="D480" s="52">
        <v>32500000000</v>
      </c>
      <c r="E480" s="52">
        <f>31827716000+672284000</f>
        <v>32500000000</v>
      </c>
      <c r="F480" s="14">
        <f t="shared" si="32"/>
        <v>1</v>
      </c>
    </row>
    <row r="481" spans="1:6" s="11" customFormat="1" ht="28.5" customHeight="1">
      <c r="A481" s="66"/>
      <c r="B481" s="67" t="s">
        <v>454</v>
      </c>
      <c r="C481" s="70" t="s">
        <v>149</v>
      </c>
      <c r="D481" s="52">
        <v>5156500000</v>
      </c>
      <c r="E481" s="52">
        <v>5156500000</v>
      </c>
      <c r="F481" s="14">
        <f t="shared" si="32"/>
        <v>1</v>
      </c>
    </row>
    <row r="482" spans="1:6" s="11" customFormat="1" ht="29.25" customHeight="1">
      <c r="A482" s="66"/>
      <c r="B482" s="67" t="s">
        <v>179</v>
      </c>
      <c r="C482" s="83" t="s">
        <v>147</v>
      </c>
      <c r="D482" s="52">
        <v>10000000000</v>
      </c>
      <c r="E482" s="52">
        <v>10000000000</v>
      </c>
      <c r="F482" s="14">
        <f t="shared" si="32"/>
        <v>1</v>
      </c>
    </row>
    <row r="483" spans="1:3" ht="12" customHeight="1">
      <c r="A483" s="6"/>
      <c r="B483" s="47"/>
      <c r="C483" s="47"/>
    </row>
    <row r="484" spans="1:6" s="1" customFormat="1" ht="24.75" customHeight="1">
      <c r="A484" s="136" t="s">
        <v>464</v>
      </c>
      <c r="B484" s="136"/>
      <c r="C484" s="136"/>
      <c r="D484" s="136"/>
      <c r="E484" s="136"/>
      <c r="F484" s="136"/>
    </row>
    <row r="486" ht="38.25" customHeight="1"/>
    <row r="488" spans="1:6" s="2" customFormat="1" ht="24.75" customHeight="1">
      <c r="A488" s="130" t="s">
        <v>462</v>
      </c>
      <c r="B488" s="130"/>
      <c r="C488" s="130"/>
      <c r="D488" s="131" t="s">
        <v>463</v>
      </c>
      <c r="E488" s="131"/>
      <c r="F488" s="131"/>
    </row>
  </sheetData>
  <sheetProtection/>
  <autoFilter ref="A9:F482"/>
  <mergeCells count="13">
    <mergeCell ref="A484:F484"/>
    <mergeCell ref="A2:B2"/>
    <mergeCell ref="A4:F4"/>
    <mergeCell ref="A1:B1"/>
    <mergeCell ref="A488:C488"/>
    <mergeCell ref="D488:F488"/>
    <mergeCell ref="A5:F5"/>
    <mergeCell ref="E7:E8"/>
    <mergeCell ref="F7:F8"/>
    <mergeCell ref="A7:A8"/>
    <mergeCell ref="B7:B8"/>
    <mergeCell ref="C7:C8"/>
    <mergeCell ref="D7:D8"/>
  </mergeCells>
  <printOptions horizontalCentered="1"/>
  <pageMargins left="0" right="0" top="0.590551181102362" bottom="0.590551181102362" header="0.196850393700787" footer="0.196850393700787"/>
  <pageSetup horizontalDpi="600" verticalDpi="600" orientation="portrait"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dautu</dc:creator>
  <cp:keywords/>
  <dc:description/>
  <cp:lastModifiedBy>Giang Truong Duy</cp:lastModifiedBy>
  <cp:lastPrinted>2018-12-25T07:43:05Z</cp:lastPrinted>
  <dcterms:created xsi:type="dcterms:W3CDTF">2007-07-31T02:35:00Z</dcterms:created>
  <dcterms:modified xsi:type="dcterms:W3CDTF">2018-12-25T07:44:09Z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1033-8.1.0.3010</vt:lpwstr>
  </property>
</Properties>
</file>